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COMISSÃO DE LICITAÇÃO\Licitação 2020\TRANSPARÊNCIA\TP 009 Reforma da Rodoviária de Piraí e Arrozal\"/>
    </mc:Choice>
  </mc:AlternateContent>
  <bookViews>
    <workbookView xWindow="0" yWindow="0" windowWidth="28800" windowHeight="12435" activeTab="1"/>
  </bookViews>
  <sheets>
    <sheet name="Memória sem piso" sheetId="1" r:id="rId1"/>
    <sheet name="Planilha Rodoviária sem piso" sheetId="2" r:id="rId2"/>
    <sheet name="cronograma" sheetId="3" r:id="rId3"/>
    <sheet name="Composição" sheetId="4" r:id="rId4"/>
  </sheets>
  <calcPr calcId="152511"/>
</workbook>
</file>

<file path=xl/calcChain.xml><?xml version="1.0" encoding="utf-8"?>
<calcChain xmlns="http://schemas.openxmlformats.org/spreadsheetml/2006/main">
  <c r="G12" i="4" l="1"/>
  <c r="G11" i="4"/>
  <c r="G10" i="4"/>
  <c r="G8" i="4"/>
  <c r="G6" i="4"/>
  <c r="G5" i="4"/>
  <c r="G4" i="4"/>
  <c r="G3" i="4"/>
  <c r="G1" i="4" s="1"/>
  <c r="F101" i="2" s="1"/>
  <c r="G101" i="2" s="1"/>
  <c r="H101" i="2" s="1"/>
  <c r="G193" i="2"/>
  <c r="H193" i="2" s="1"/>
  <c r="G191" i="2"/>
  <c r="H191" i="2" s="1"/>
  <c r="G189" i="2"/>
  <c r="H189" i="2" s="1"/>
  <c r="G187" i="2"/>
  <c r="H187" i="2" s="1"/>
  <c r="G185" i="2"/>
  <c r="H185" i="2" s="1"/>
  <c r="G183" i="2"/>
  <c r="H183" i="2" s="1"/>
  <c r="G181" i="2"/>
  <c r="H181" i="2" s="1"/>
  <c r="G179" i="2"/>
  <c r="H179" i="2" s="1"/>
  <c r="H176" i="2"/>
  <c r="G176" i="2"/>
  <c r="H174" i="2"/>
  <c r="G174" i="2"/>
  <c r="H172" i="2"/>
  <c r="G172" i="2"/>
  <c r="H170" i="2"/>
  <c r="G170" i="2"/>
  <c r="H168" i="2"/>
  <c r="G168" i="2"/>
  <c r="H166" i="2"/>
  <c r="G166" i="2"/>
  <c r="H165" i="2"/>
  <c r="F17" i="3" s="1"/>
  <c r="G164" i="2"/>
  <c r="H164" i="2" s="1"/>
  <c r="G162" i="2"/>
  <c r="H162" i="2" s="1"/>
  <c r="G160" i="2"/>
  <c r="H160" i="2" s="1"/>
  <c r="G158" i="2"/>
  <c r="E158" i="2"/>
  <c r="H158" i="2" s="1"/>
  <c r="G156" i="2"/>
  <c r="E156" i="2"/>
  <c r="H156" i="2" s="1"/>
  <c r="G154" i="2"/>
  <c r="E154" i="2"/>
  <c r="H154" i="2" s="1"/>
  <c r="M152" i="2"/>
  <c r="G152" i="2"/>
  <c r="E152" i="2"/>
  <c r="H152" i="2" s="1"/>
  <c r="H150" i="2"/>
  <c r="G150" i="2"/>
  <c r="E150" i="2"/>
  <c r="G148" i="2"/>
  <c r="E148" i="2"/>
  <c r="H148" i="2" s="1"/>
  <c r="G146" i="2"/>
  <c r="G144" i="2"/>
  <c r="H142" i="2"/>
  <c r="G142" i="2"/>
  <c r="E142" i="2"/>
  <c r="G140" i="2"/>
  <c r="E140" i="2"/>
  <c r="H140" i="2" s="1"/>
  <c r="G138" i="2"/>
  <c r="E138" i="2"/>
  <c r="H138" i="2" s="1"/>
  <c r="G136" i="2"/>
  <c r="E136" i="2"/>
  <c r="H136" i="2" s="1"/>
  <c r="G134" i="2"/>
  <c r="G132" i="2"/>
  <c r="E132" i="2"/>
  <c r="H132" i="2" s="1"/>
  <c r="G130" i="2"/>
  <c r="G127" i="2"/>
  <c r="E127" i="2"/>
  <c r="H127" i="2" s="1"/>
  <c r="G125" i="2"/>
  <c r="H123" i="2"/>
  <c r="G123" i="2"/>
  <c r="E123" i="2"/>
  <c r="G121" i="2"/>
  <c r="E121" i="2"/>
  <c r="E125" i="2" s="1"/>
  <c r="H125" i="2" s="1"/>
  <c r="G118" i="2"/>
  <c r="H118" i="2" s="1"/>
  <c r="G116" i="2"/>
  <c r="H116" i="2" s="1"/>
  <c r="G114" i="2"/>
  <c r="H114" i="2" s="1"/>
  <c r="G112" i="2"/>
  <c r="H112" i="2" s="1"/>
  <c r="F109" i="2"/>
  <c r="G109" i="2" s="1"/>
  <c r="H107" i="2"/>
  <c r="G107" i="2"/>
  <c r="E107" i="2"/>
  <c r="G105" i="2"/>
  <c r="G103" i="2"/>
  <c r="E103" i="2"/>
  <c r="H103" i="2" s="1"/>
  <c r="G99" i="2"/>
  <c r="G97" i="2"/>
  <c r="G95" i="2"/>
  <c r="H93" i="2"/>
  <c r="G93" i="2"/>
  <c r="H91" i="2"/>
  <c r="G91" i="2"/>
  <c r="H89" i="2"/>
  <c r="G89" i="2"/>
  <c r="F87" i="2"/>
  <c r="G87" i="2" s="1"/>
  <c r="H87" i="2" s="1"/>
  <c r="G85" i="2"/>
  <c r="H85" i="2" s="1"/>
  <c r="G83" i="2"/>
  <c r="H83" i="2" s="1"/>
  <c r="G81" i="2"/>
  <c r="H81" i="2" s="1"/>
  <c r="G79" i="2"/>
  <c r="H79" i="2" s="1"/>
  <c r="G77" i="2"/>
  <c r="H77" i="2" s="1"/>
  <c r="G75" i="2"/>
  <c r="H75" i="2" s="1"/>
  <c r="G73" i="2"/>
  <c r="H73" i="2" s="1"/>
  <c r="G71" i="2"/>
  <c r="H71" i="2" s="1"/>
  <c r="H70" i="2" s="1"/>
  <c r="F12" i="3" s="1"/>
  <c r="H69" i="2"/>
  <c r="G69" i="2"/>
  <c r="H67" i="2"/>
  <c r="G67" i="2"/>
  <c r="H65" i="2"/>
  <c r="H64" i="2" s="1"/>
  <c r="F11" i="3" s="1"/>
  <c r="G65" i="2"/>
  <c r="G62" i="2"/>
  <c r="H62" i="2" s="1"/>
  <c r="G60" i="2"/>
  <c r="E60" i="2"/>
  <c r="H60" i="2" s="1"/>
  <c r="H58" i="2"/>
  <c r="G58" i="2"/>
  <c r="H56" i="2"/>
  <c r="G56" i="2"/>
  <c r="H54" i="2"/>
  <c r="G54" i="2"/>
  <c r="H52" i="2"/>
  <c r="G52" i="2"/>
  <c r="G50" i="2"/>
  <c r="G48" i="2"/>
  <c r="H48" i="2" s="1"/>
  <c r="G46" i="2"/>
  <c r="H46" i="2" s="1"/>
  <c r="G44" i="2"/>
  <c r="G42" i="2"/>
  <c r="E42" i="2"/>
  <c r="H42" i="2" s="1"/>
  <c r="G40" i="2"/>
  <c r="H40" i="2" s="1"/>
  <c r="G38" i="2"/>
  <c r="H38" i="2" s="1"/>
  <c r="G36" i="2"/>
  <c r="H36" i="2" s="1"/>
  <c r="G34" i="2"/>
  <c r="H34" i="2" s="1"/>
  <c r="G31" i="2"/>
  <c r="G29" i="2"/>
  <c r="H29" i="2" s="1"/>
  <c r="G27" i="2"/>
  <c r="G25" i="2"/>
  <c r="G23" i="2"/>
  <c r="H21" i="2"/>
  <c r="G21" i="2"/>
  <c r="G19" i="2"/>
  <c r="G17" i="2"/>
  <c r="G15" i="2"/>
  <c r="G13" i="2"/>
  <c r="H13" i="2" s="1"/>
  <c r="G11" i="2"/>
  <c r="H9" i="2"/>
  <c r="G9" i="2"/>
  <c r="F663" i="1"/>
  <c r="F657" i="1"/>
  <c r="F651" i="1"/>
  <c r="F645" i="1"/>
  <c r="F644" i="1"/>
  <c r="F638" i="1"/>
  <c r="F627" i="1"/>
  <c r="C626" i="1"/>
  <c r="F626" i="1" s="1"/>
  <c r="F625" i="1"/>
  <c r="F630" i="1" s="1"/>
  <c r="F620" i="1"/>
  <c r="F619" i="1"/>
  <c r="F621" i="1" s="1"/>
  <c r="F613" i="1"/>
  <c r="F612" i="1"/>
  <c r="F611" i="1"/>
  <c r="F614" i="1" s="1"/>
  <c r="F606" i="1"/>
  <c r="F605" i="1"/>
  <c r="F604" i="1"/>
  <c r="F607" i="1" s="1"/>
  <c r="F599" i="1"/>
  <c r="F598" i="1"/>
  <c r="F597" i="1"/>
  <c r="F596" i="1"/>
  <c r="F595" i="1"/>
  <c r="F594" i="1"/>
  <c r="F593" i="1"/>
  <c r="F588" i="1"/>
  <c r="F587" i="1"/>
  <c r="F586" i="1"/>
  <c r="F585" i="1"/>
  <c r="F584" i="1"/>
  <c r="F583" i="1"/>
  <c r="F582" i="1"/>
  <c r="F589" i="1" s="1"/>
  <c r="F577" i="1"/>
  <c r="F576" i="1"/>
  <c r="F575" i="1"/>
  <c r="F574" i="1"/>
  <c r="F573" i="1"/>
  <c r="F572" i="1"/>
  <c r="F571" i="1"/>
  <c r="F578" i="1" s="1"/>
  <c r="F566" i="1"/>
  <c r="F565" i="1"/>
  <c r="F564" i="1"/>
  <c r="C564" i="1"/>
  <c r="F563" i="1"/>
  <c r="D563" i="1"/>
  <c r="F562" i="1"/>
  <c r="C562" i="1"/>
  <c r="B562" i="1"/>
  <c r="C561" i="1"/>
  <c r="F561" i="1" s="1"/>
  <c r="B561" i="1"/>
  <c r="F553" i="1"/>
  <c r="F552" i="1"/>
  <c r="C550" i="1"/>
  <c r="F550" i="1" s="1"/>
  <c r="F549" i="1"/>
  <c r="F548" i="1"/>
  <c r="F547" i="1"/>
  <c r="F546" i="1"/>
  <c r="F545" i="1"/>
  <c r="F544" i="1"/>
  <c r="C544" i="1"/>
  <c r="F543" i="1"/>
  <c r="C543" i="1"/>
  <c r="C537" i="1"/>
  <c r="F537" i="1" s="1"/>
  <c r="F536" i="1"/>
  <c r="F535" i="1"/>
  <c r="F534" i="1"/>
  <c r="F533" i="1"/>
  <c r="F532" i="1"/>
  <c r="F531" i="1"/>
  <c r="F538" i="1" s="1"/>
  <c r="C531" i="1"/>
  <c r="F530" i="1"/>
  <c r="C530" i="1"/>
  <c r="F525" i="1"/>
  <c r="F524" i="1"/>
  <c r="C524" i="1"/>
  <c r="F523" i="1"/>
  <c r="F526" i="1" s="1"/>
  <c r="F517" i="1"/>
  <c r="F516" i="1"/>
  <c r="F519" i="1" s="1"/>
  <c r="F511" i="1"/>
  <c r="F510" i="1"/>
  <c r="F509" i="1"/>
  <c r="F508" i="1"/>
  <c r="F512" i="1" s="1"/>
  <c r="F497" i="1"/>
  <c r="E144" i="2" s="1"/>
  <c r="F492" i="1"/>
  <c r="E134" i="2" s="1"/>
  <c r="H134" i="2" s="1"/>
  <c r="F489" i="1"/>
  <c r="E130" i="2" s="1"/>
  <c r="H130" i="2" s="1"/>
  <c r="F477" i="1"/>
  <c r="F476" i="1"/>
  <c r="F475" i="1"/>
  <c r="E475" i="1"/>
  <c r="F474" i="1"/>
  <c r="F473" i="1"/>
  <c r="F472" i="1"/>
  <c r="F468" i="1"/>
  <c r="F461" i="1"/>
  <c r="F454" i="1"/>
  <c r="F445" i="1"/>
  <c r="F444" i="1"/>
  <c r="F447" i="1" s="1"/>
  <c r="E109" i="2" s="1"/>
  <c r="F439" i="1"/>
  <c r="F432" i="1"/>
  <c r="E105" i="2" s="1"/>
  <c r="H105" i="2" s="1"/>
  <c r="F425" i="1"/>
  <c r="F415" i="1"/>
  <c r="F414" i="1"/>
  <c r="F413" i="1"/>
  <c r="F412" i="1"/>
  <c r="F407" i="1"/>
  <c r="E99" i="2" s="1"/>
  <c r="H99" i="2" s="1"/>
  <c r="F406" i="1"/>
  <c r="F401" i="1"/>
  <c r="E97" i="2" s="1"/>
  <c r="H97" i="2" s="1"/>
  <c r="F394" i="1"/>
  <c r="F395" i="1" s="1"/>
  <c r="E95" i="2" s="1"/>
  <c r="H95" i="2" s="1"/>
  <c r="F387" i="1"/>
  <c r="D386" i="1"/>
  <c r="F386" i="1" s="1"/>
  <c r="C386" i="1"/>
  <c r="F385" i="1"/>
  <c r="F384" i="1"/>
  <c r="F379" i="1"/>
  <c r="F378" i="1"/>
  <c r="F377" i="1"/>
  <c r="F376" i="1"/>
  <c r="F375" i="1"/>
  <c r="F374" i="1"/>
  <c r="F373" i="1"/>
  <c r="F372" i="1"/>
  <c r="F380" i="1" s="1"/>
  <c r="F371" i="1"/>
  <c r="F367" i="1"/>
  <c r="C365" i="1"/>
  <c r="F365" i="1" s="1"/>
  <c r="C364" i="1"/>
  <c r="F364" i="1" s="1"/>
  <c r="F359" i="1"/>
  <c r="F360" i="1" s="1"/>
  <c r="F353" i="1"/>
  <c r="C352" i="1"/>
  <c r="F352" i="1" s="1"/>
  <c r="C351" i="1"/>
  <c r="F351" i="1" s="1"/>
  <c r="F345" i="1"/>
  <c r="F344" i="1"/>
  <c r="F343" i="1"/>
  <c r="C343" i="1"/>
  <c r="F337" i="1"/>
  <c r="F335" i="1"/>
  <c r="F334" i="1"/>
  <c r="F333" i="1"/>
  <c r="F339" i="1" s="1"/>
  <c r="F332" i="1"/>
  <c r="F326" i="1"/>
  <c r="F325" i="1"/>
  <c r="C324" i="1"/>
  <c r="F324" i="1" s="1"/>
  <c r="F323" i="1"/>
  <c r="F321" i="1"/>
  <c r="C321" i="1"/>
  <c r="F320" i="1"/>
  <c r="C320" i="1"/>
  <c r="F319" i="1"/>
  <c r="F328" i="1" s="1"/>
  <c r="F314" i="1"/>
  <c r="F313" i="1"/>
  <c r="F312" i="1"/>
  <c r="C312" i="1"/>
  <c r="F311" i="1"/>
  <c r="C311" i="1"/>
  <c r="F310" i="1"/>
  <c r="C310" i="1"/>
  <c r="F309" i="1"/>
  <c r="C309" i="1"/>
  <c r="F308" i="1"/>
  <c r="C308" i="1"/>
  <c r="F304" i="1"/>
  <c r="F302" i="1"/>
  <c r="C297" i="1"/>
  <c r="F297" i="1" s="1"/>
  <c r="F296" i="1"/>
  <c r="F295" i="1"/>
  <c r="F294" i="1"/>
  <c r="F293" i="1"/>
  <c r="F292" i="1"/>
  <c r="F291" i="1"/>
  <c r="F290" i="1"/>
  <c r="F289" i="1"/>
  <c r="F288" i="1"/>
  <c r="F287" i="1"/>
  <c r="F286" i="1"/>
  <c r="F285" i="1"/>
  <c r="F298" i="1" s="1"/>
  <c r="F280" i="1"/>
  <c r="C279" i="1"/>
  <c r="F279" i="1" s="1"/>
  <c r="F278" i="1"/>
  <c r="F277" i="1"/>
  <c r="F276" i="1"/>
  <c r="F275" i="1"/>
  <c r="F274" i="1"/>
  <c r="F273" i="1"/>
  <c r="F272" i="1"/>
  <c r="F271" i="1"/>
  <c r="F270" i="1"/>
  <c r="F269" i="1"/>
  <c r="F268" i="1"/>
  <c r="F267" i="1"/>
  <c r="F281" i="1" s="1"/>
  <c r="F262" i="1"/>
  <c r="C262" i="1"/>
  <c r="F261" i="1"/>
  <c r="C261" i="1"/>
  <c r="F260" i="1"/>
  <c r="C260" i="1"/>
  <c r="F259" i="1"/>
  <c r="C259" i="1"/>
  <c r="F258" i="1"/>
  <c r="C258" i="1"/>
  <c r="F257" i="1"/>
  <c r="C257" i="1"/>
  <c r="F256" i="1"/>
  <c r="F255" i="1"/>
  <c r="F250" i="1"/>
  <c r="F249" i="1"/>
  <c r="F248" i="1"/>
  <c r="F247" i="1"/>
  <c r="F246" i="1"/>
  <c r="F245" i="1"/>
  <c r="F244" i="1"/>
  <c r="F243" i="1"/>
  <c r="F251" i="1" s="1"/>
  <c r="F242" i="1"/>
  <c r="C237" i="1"/>
  <c r="F237" i="1" s="1"/>
  <c r="F236" i="1"/>
  <c r="F235" i="1"/>
  <c r="F234" i="1"/>
  <c r="F233" i="1"/>
  <c r="F232" i="1"/>
  <c r="F231" i="1"/>
  <c r="F230" i="1"/>
  <c r="F229" i="1"/>
  <c r="F228" i="1"/>
  <c r="F227" i="1"/>
  <c r="F226" i="1"/>
  <c r="F225" i="1"/>
  <c r="F238" i="1" s="1"/>
  <c r="F199" i="1"/>
  <c r="F192" i="1"/>
  <c r="E191" i="1"/>
  <c r="F191" i="1" s="1"/>
  <c r="F190" i="1"/>
  <c r="F189" i="1"/>
  <c r="F188" i="1"/>
  <c r="F184" i="1"/>
  <c r="F183" i="1"/>
  <c r="F182" i="1"/>
  <c r="E181" i="1"/>
  <c r="F181" i="1" s="1"/>
  <c r="F176" i="1"/>
  <c r="F175" i="1"/>
  <c r="F177" i="1" s="1"/>
  <c r="F170" i="1"/>
  <c r="E50" i="2" s="1"/>
  <c r="H50" i="2" s="1"/>
  <c r="F160" i="1"/>
  <c r="C159" i="1"/>
  <c r="F159" i="1" s="1"/>
  <c r="F158" i="1"/>
  <c r="F157" i="1"/>
  <c r="C156" i="1"/>
  <c r="F156" i="1" s="1"/>
  <c r="F155" i="1"/>
  <c r="F149" i="1"/>
  <c r="F148" i="1"/>
  <c r="C147" i="1"/>
  <c r="F147" i="1" s="1"/>
  <c r="C145" i="1"/>
  <c r="F145" i="1" s="1"/>
  <c r="F151" i="1" s="1"/>
  <c r="B204" i="1" s="1"/>
  <c r="C144" i="1"/>
  <c r="F144" i="1" s="1"/>
  <c r="F143" i="1"/>
  <c r="F139" i="1"/>
  <c r="E44" i="2" s="1"/>
  <c r="H44" i="2" s="1"/>
  <c r="F131" i="1"/>
  <c r="F121" i="1"/>
  <c r="F120" i="1"/>
  <c r="C119" i="1"/>
  <c r="F119" i="1" s="1"/>
  <c r="C117" i="1"/>
  <c r="F117" i="1" s="1"/>
  <c r="C116" i="1"/>
  <c r="F116" i="1" s="1"/>
  <c r="F123" i="1" s="1"/>
  <c r="B207" i="1" s="1"/>
  <c r="F115" i="1"/>
  <c r="F109" i="1"/>
  <c r="F108" i="1"/>
  <c r="C108" i="1"/>
  <c r="F107" i="1"/>
  <c r="F106" i="1"/>
  <c r="F105" i="1"/>
  <c r="C105" i="1"/>
  <c r="F104" i="1"/>
  <c r="F111" i="1" s="1"/>
  <c r="B208" i="1" s="1"/>
  <c r="F98" i="1"/>
  <c r="C97" i="1"/>
  <c r="F97" i="1" s="1"/>
  <c r="F96" i="1"/>
  <c r="F95" i="1"/>
  <c r="C94" i="1"/>
  <c r="F94" i="1" s="1"/>
  <c r="F93" i="1"/>
  <c r="F88" i="1"/>
  <c r="F87" i="1"/>
  <c r="C87" i="1"/>
  <c r="F86" i="1"/>
  <c r="F85" i="1"/>
  <c r="F84" i="1"/>
  <c r="C83" i="1"/>
  <c r="F83" i="1" s="1"/>
  <c r="C82" i="1"/>
  <c r="F82" i="1" s="1"/>
  <c r="F89" i="1" s="1"/>
  <c r="F81" i="1"/>
  <c r="F80" i="1"/>
  <c r="F79" i="1"/>
  <c r="F75" i="1"/>
  <c r="E31" i="2" s="1"/>
  <c r="H31" i="2" s="1"/>
  <c r="F74" i="1"/>
  <c r="F73" i="1"/>
  <c r="F68" i="1"/>
  <c r="B68" i="1"/>
  <c r="F67" i="1"/>
  <c r="B67" i="1"/>
  <c r="F66" i="1"/>
  <c r="B66" i="1"/>
  <c r="F65" i="1"/>
  <c r="F69" i="1" s="1"/>
  <c r="B65" i="1"/>
  <c r="F60" i="1"/>
  <c r="F59" i="1"/>
  <c r="F61" i="1" s="1"/>
  <c r="E27" i="2" s="1"/>
  <c r="H27" i="2" s="1"/>
  <c r="F54" i="1"/>
  <c r="F55" i="1" s="1"/>
  <c r="E25" i="2" s="1"/>
  <c r="H25" i="2" s="1"/>
  <c r="F53" i="1"/>
  <c r="F48" i="1"/>
  <c r="F49" i="1" s="1"/>
  <c r="E23" i="2" s="1"/>
  <c r="H23" i="2" s="1"/>
  <c r="F47" i="1"/>
  <c r="F42" i="1"/>
  <c r="F41" i="1"/>
  <c r="F43" i="1" s="1"/>
  <c r="F37" i="1"/>
  <c r="E19" i="2" s="1"/>
  <c r="H19" i="2" s="1"/>
  <c r="F36" i="1"/>
  <c r="F35" i="1"/>
  <c r="F31" i="1"/>
  <c r="E17" i="2" s="1"/>
  <c r="H17" i="2" s="1"/>
  <c r="F25" i="1"/>
  <c r="E15" i="2" s="1"/>
  <c r="H15" i="2" s="1"/>
  <c r="F24" i="1"/>
  <c r="F23" i="1"/>
  <c r="F17" i="1"/>
  <c r="F19" i="1" s="1"/>
  <c r="F11" i="1"/>
  <c r="F13" i="1" s="1"/>
  <c r="E11" i="2" s="1"/>
  <c r="H11" i="2" s="1"/>
  <c r="F5" i="1"/>
  <c r="F7" i="1" s="1"/>
  <c r="B219" i="1" l="1"/>
  <c r="F219" i="1" s="1"/>
  <c r="F208" i="1"/>
  <c r="B218" i="1"/>
  <c r="F218" i="1" s="1"/>
  <c r="F207" i="1"/>
  <c r="B215" i="1"/>
  <c r="F215" i="1" s="1"/>
  <c r="F204" i="1"/>
  <c r="F162" i="1"/>
  <c r="B205" i="1" s="1"/>
  <c r="F100" i="1"/>
  <c r="B206" i="1" s="1"/>
  <c r="F557" i="1"/>
  <c r="F600" i="1"/>
  <c r="H33" i="2"/>
  <c r="F10" i="3" s="1"/>
  <c r="H111" i="2"/>
  <c r="F14" i="3" s="1"/>
  <c r="E17" i="3"/>
  <c r="F263" i="1"/>
  <c r="F315" i="1"/>
  <c r="F347" i="1"/>
  <c r="F388" i="1"/>
  <c r="H109" i="2"/>
  <c r="H8" i="2"/>
  <c r="H178" i="2"/>
  <c r="F18" i="3" s="1"/>
  <c r="H94" i="2"/>
  <c r="F13" i="3" s="1"/>
  <c r="C11" i="3"/>
  <c r="E146" i="2"/>
  <c r="H146" i="2" s="1"/>
  <c r="H144" i="2"/>
  <c r="H129" i="2" s="1"/>
  <c r="F16" i="3" s="1"/>
  <c r="E12" i="3"/>
  <c r="D12" i="3"/>
  <c r="C12" i="3"/>
  <c r="F193" i="1"/>
  <c r="F354" i="1"/>
  <c r="F567" i="1"/>
  <c r="H121" i="2"/>
  <c r="H120" i="2" s="1"/>
  <c r="F15" i="3" s="1"/>
  <c r="E16" i="3" l="1"/>
  <c r="C15" i="3"/>
  <c r="E13" i="3"/>
  <c r="D13" i="3"/>
  <c r="D10" i="3"/>
  <c r="C10" i="3"/>
  <c r="B216" i="1"/>
  <c r="F216" i="1" s="1"/>
  <c r="F205" i="1"/>
  <c r="E18" i="3"/>
  <c r="D18" i="3"/>
  <c r="C18" i="3"/>
  <c r="F9" i="3"/>
  <c r="H195" i="2"/>
  <c r="B197" i="1"/>
  <c r="F197" i="1" s="1"/>
  <c r="F200" i="1" s="1"/>
  <c r="B209" i="1" s="1"/>
  <c r="D14" i="3"/>
  <c r="C14" i="3"/>
  <c r="E14" i="3"/>
  <c r="B217" i="1"/>
  <c r="F217" i="1" s="1"/>
  <c r="F206" i="1"/>
  <c r="F221" i="1" l="1"/>
  <c r="F210" i="1"/>
  <c r="E9" i="3"/>
  <c r="E20" i="3" s="1"/>
  <c r="D9" i="3"/>
  <c r="D20" i="3" s="1"/>
  <c r="G9" i="3"/>
  <c r="C9" i="3"/>
  <c r="C20" i="3" s="1"/>
  <c r="F20" i="3"/>
  <c r="B220" i="1"/>
  <c r="F220" i="1" s="1"/>
  <c r="F209" i="1"/>
  <c r="D21" i="3" l="1"/>
  <c r="G17" i="3"/>
  <c r="G11" i="3"/>
  <c r="G12" i="3"/>
  <c r="G13" i="3"/>
  <c r="G18" i="3"/>
  <c r="G14" i="3"/>
  <c r="G15" i="3"/>
  <c r="G16" i="3"/>
  <c r="G10" i="3"/>
  <c r="G20" i="3" s="1"/>
  <c r="E21" i="3"/>
  <c r="C21" i="3"/>
  <c r="C23" i="3" s="1"/>
  <c r="D23" i="3" s="1"/>
  <c r="E23" i="3" s="1"/>
  <c r="C22" i="3"/>
  <c r="D22" i="3" s="1"/>
  <c r="E22" i="3" s="1"/>
</calcChain>
</file>

<file path=xl/sharedStrings.xml><?xml version="1.0" encoding="utf-8"?>
<sst xmlns="http://schemas.openxmlformats.org/spreadsheetml/2006/main" count="1396" uniqueCount="622">
  <si>
    <t>MEMÓRIA DE CÁLCULO</t>
  </si>
  <si>
    <t>1.1 - Placa de Obra</t>
  </si>
  <si>
    <t>Local</t>
  </si>
  <si>
    <t>Quant</t>
  </si>
  <si>
    <t>Comprimento</t>
  </si>
  <si>
    <t>Largura</t>
  </si>
  <si>
    <t>Altura</t>
  </si>
  <si>
    <t>Total</t>
  </si>
  <si>
    <t>Rodoviária</t>
  </si>
  <si>
    <t>Total ( m )</t>
  </si>
  <si>
    <t>1.2-  Aluguel de Container</t>
  </si>
  <si>
    <t>Duração</t>
  </si>
  <si>
    <t>Container com WC</t>
  </si>
  <si>
    <t>Total (unid.xmês)</t>
  </si>
  <si>
    <t>1.3-  Transporte de Container</t>
  </si>
  <si>
    <t>Distância</t>
  </si>
  <si>
    <t>Total (unid.xkm)</t>
  </si>
  <si>
    <t>1.4-  Transporte de Container</t>
  </si>
  <si>
    <t>Container com WC - Carga</t>
  </si>
  <si>
    <t>Container com WC -Descarga</t>
  </si>
  <si>
    <t>1.5-  Placa Preventiva de obra</t>
  </si>
  <si>
    <t>Descrição</t>
  </si>
  <si>
    <t>Sinalizadores de obra temporária</t>
  </si>
  <si>
    <t>Total (unid)</t>
  </si>
  <si>
    <t>1.6-  Aluguel de Andaime</t>
  </si>
  <si>
    <t>Total m²xmês)</t>
  </si>
  <si>
    <t>1.7-  Transporte de Andaime</t>
  </si>
  <si>
    <t>Total (m²xkm)</t>
  </si>
  <si>
    <t>1.8-  Movimentação Vertical e Horizontal de Plataforma</t>
  </si>
  <si>
    <t>Total  (m²)</t>
  </si>
  <si>
    <t>1.9-  Montagem e Desmontagem de Andaime</t>
  </si>
  <si>
    <t>1.10-  Carga e Descarga de Andaime</t>
  </si>
  <si>
    <t>1.11-  Carga e Descarga Manual de Material em Caminhão Carroceria</t>
  </si>
  <si>
    <t>Quant (m³ )</t>
  </si>
  <si>
    <t>Peso Espec.</t>
  </si>
  <si>
    <t>Telhas</t>
  </si>
  <si>
    <t>Louças</t>
  </si>
  <si>
    <t>Caixas d'água</t>
  </si>
  <si>
    <t>Placa</t>
  </si>
  <si>
    <t>Total  ( t )</t>
  </si>
  <si>
    <t>1.11-  Cerquite</t>
  </si>
  <si>
    <t>2.1 - Demolição de Alvenaria de 1/2vez</t>
  </si>
  <si>
    <t>Para Sanitário PNE</t>
  </si>
  <si>
    <t>Na Administração</t>
  </si>
  <si>
    <t>Atendimento</t>
  </si>
  <si>
    <t>No Sanitário Público</t>
  </si>
  <si>
    <t>Total ( m³ )</t>
  </si>
  <si>
    <t>2.2 - Remoção de Azulejos</t>
  </si>
  <si>
    <t>No Sanitário Público Masc.</t>
  </si>
  <si>
    <t>No Sanitário Público Feminino</t>
  </si>
  <si>
    <t>Total (m²)</t>
  </si>
  <si>
    <t>2.3 - Demolição de Argamassa</t>
  </si>
  <si>
    <t>2.4 - Demolição de Piso Marmorite exclusive contrapiso</t>
  </si>
  <si>
    <t>%</t>
  </si>
  <si>
    <t>Administração e Atendimento</t>
  </si>
  <si>
    <t>Sanitário Masculino</t>
  </si>
  <si>
    <t>Sanitário Feminino</t>
  </si>
  <si>
    <t>Sala 1 ( Cad )</t>
  </si>
  <si>
    <t>Área Interna de Circulação</t>
  </si>
  <si>
    <t>Área externa de Circulação( entorno)-cad</t>
  </si>
  <si>
    <t>Depósito ( cad )</t>
  </si>
  <si>
    <t>2.5 - Arrancamento de Aparelhos Sanitários</t>
  </si>
  <si>
    <t>Vaso Convencional de louça</t>
  </si>
  <si>
    <t>Circulação</t>
  </si>
  <si>
    <t>Bebedouro</t>
  </si>
  <si>
    <t>WC Admintração</t>
  </si>
  <si>
    <t>Total ( unid )</t>
  </si>
  <si>
    <t>2.6 - Arrancamento de Bancada</t>
  </si>
  <si>
    <t>Bancada com cubas de 3,00x0,60m</t>
  </si>
  <si>
    <t>2.7 - Demolição de Contrapiso</t>
  </si>
  <si>
    <t>Total ( m² )</t>
  </si>
  <si>
    <t>2.8 - Demolição de Emboço</t>
  </si>
  <si>
    <t>2.9 - Arrancamento de Portas, janelas...</t>
  </si>
  <si>
    <t>Sanitário Masculino e Feminino</t>
  </si>
  <si>
    <t>Porta lisa de 80x210</t>
  </si>
  <si>
    <t>Administração</t>
  </si>
  <si>
    <t>Porta lisa de 70x210</t>
  </si>
  <si>
    <t>Sala 1</t>
  </si>
  <si>
    <t>Porta lisa de 70x210 ( correr )</t>
  </si>
  <si>
    <t>Depósito</t>
  </si>
  <si>
    <t>Porta de Aço ( Lanchonete )</t>
  </si>
  <si>
    <t>2.10 - Remoção de Cobertura</t>
  </si>
  <si>
    <t>Cobertura ( cad )</t>
  </si>
  <si>
    <t>2.11 - Retirada Impermeabilização, incluisve limpeza com escova de Aço</t>
  </si>
  <si>
    <t>Calhas da Cobertura Rodoviári(par)</t>
  </si>
  <si>
    <t>Calhas da Cobertura Rodoviária ( fundo)</t>
  </si>
  <si>
    <t>Lanternim ( cad)</t>
  </si>
  <si>
    <t>2.12 - Limpeza com Jato de Água</t>
  </si>
  <si>
    <t>Calhas(laje) da Cobert. Rodoviária (cad)</t>
  </si>
  <si>
    <t>2.13 - Raspagem com espátula de Emboço Podre</t>
  </si>
  <si>
    <t>Quant( m² )</t>
  </si>
  <si>
    <t>% Podre</t>
  </si>
  <si>
    <t>Área referente</t>
  </si>
  <si>
    <t>Desconto Sala Administração</t>
  </si>
  <si>
    <t>2.14 - Retirada de Entulho em Caçamba</t>
  </si>
  <si>
    <t>Quant(m³)</t>
  </si>
  <si>
    <t>Empolamento</t>
  </si>
  <si>
    <t>Demolição de Contrapiso</t>
  </si>
  <si>
    <t>Demolição de Emboço</t>
  </si>
  <si>
    <t>Demolição de Azulejo</t>
  </si>
  <si>
    <t>Demolição de Marmorite</t>
  </si>
  <si>
    <t>Demolição Argamassa de Assent.</t>
  </si>
  <si>
    <t>Demolição de Emboço Podre</t>
  </si>
  <si>
    <t>nº de Caçambas</t>
  </si>
  <si>
    <t>2.15 - Transporte Horizontal em Carrinhos de mão</t>
  </si>
  <si>
    <t>Volume</t>
  </si>
  <si>
    <t>3.1 - Alvenaria de 1/2 vez</t>
  </si>
  <si>
    <t>Sanitário PNE</t>
  </si>
  <si>
    <t>Desconto</t>
  </si>
  <si>
    <t>Administração/Atendimento</t>
  </si>
  <si>
    <t>WC Administração</t>
  </si>
  <si>
    <t>3.2 - Divisórias em Granito</t>
  </si>
  <si>
    <t>3.3 - Verga e Contraverga</t>
  </si>
  <si>
    <t>Sanitário PNE Masc.</t>
  </si>
  <si>
    <t>Sanitário PNE Feminino</t>
  </si>
  <si>
    <t>Administração</t>
  </si>
  <si>
    <t>Administração ( guiche )</t>
  </si>
  <si>
    <t>4.1 - Chapisco</t>
  </si>
  <si>
    <t>4.2 - Emboço</t>
  </si>
  <si>
    <t>4.3 -Recomposição de revestimento com argamassa de cimento e areia, no traço 1:3</t>
  </si>
  <si>
    <t>4.4 - Revestimento Cerâmico em Paredes</t>
  </si>
  <si>
    <t>Perímetro</t>
  </si>
  <si>
    <t>4.5 - Contrapiso</t>
  </si>
  <si>
    <t>Sala 1 ( Cad )</t>
  </si>
  <si>
    <t>WC PNE Masc. / Feminino</t>
  </si>
  <si>
    <t>4.6 - Piso Cerâmico 60x60cm</t>
  </si>
  <si>
    <t>Hall de Entrada do Sanitário PNE</t>
  </si>
  <si>
    <t>4.7 - Marmorite com junta plástica</t>
  </si>
  <si>
    <t>4.8 -Piso em Granito Cinza Corumbá - Polido e Lustrado</t>
  </si>
  <si>
    <t>Sanitário Coletivo Feminino</t>
  </si>
  <si>
    <t>Sanitário Coletivo Masculino</t>
  </si>
  <si>
    <t>4.9 - Piso Cerâmico comum 60x60cm</t>
  </si>
  <si>
    <t>Total ( m² )</t>
  </si>
  <si>
    <t>4.10 - Rodapé cerâmico</t>
  </si>
  <si>
    <t>Total ( m )</t>
  </si>
  <si>
    <t>4.11 - Soleira em Granito</t>
  </si>
  <si>
    <t>Hall dos Sanitários PNE</t>
  </si>
  <si>
    <t>4.12 - Rebaixo com Placa de PVC 20cm</t>
  </si>
  <si>
    <t>Sanitário Coletivo Masculino</t>
  </si>
  <si>
    <t>Sanitário PNE Masc./ Feminino / Circ</t>
  </si>
  <si>
    <t>WC Administração/Admist. / Atend.</t>
  </si>
  <si>
    <t>5.1- Porta de Madeira 100x210</t>
  </si>
  <si>
    <t>Porta lisa de 100x210</t>
  </si>
  <si>
    <t>Sanitário PNE Masc. e Feminino</t>
  </si>
  <si>
    <t>5.2- Porta de Madeira 80x210</t>
  </si>
  <si>
    <t>Atendimento/Administração</t>
  </si>
  <si>
    <t>5.3- Porta de Madeira 60x210</t>
  </si>
  <si>
    <t>Porta lisa de 60x210</t>
  </si>
  <si>
    <t>5.4 - Porta Serigrafada</t>
  </si>
  <si>
    <t>5.5 - Ferragens para Porta de Madeira</t>
  </si>
  <si>
    <t>Fechadura Completa</t>
  </si>
  <si>
    <t>5.6 -Barra de Apoio - Puxador Horizontal</t>
  </si>
  <si>
    <t>Puxador Horizontal</t>
  </si>
  <si>
    <t>5.7  -Trinco Livre-Ocupado</t>
  </si>
  <si>
    <t>Sanitário Coletivo Masc.</t>
  </si>
  <si>
    <t>Trinco Livre Ocupado</t>
  </si>
  <si>
    <t>5.8 - Chapa de Proteção para Porta PNE</t>
  </si>
  <si>
    <t>Sanitário PNE Masculino</t>
  </si>
  <si>
    <t>6.1 - Trama Metálica para Cobertura</t>
  </si>
  <si>
    <t>Cobertura Rodoviária ( cad)</t>
  </si>
  <si>
    <t>6.2 - Trama Metálica para Cobertura</t>
  </si>
  <si>
    <t>6.3- Cobertura com Telha Aluminio</t>
  </si>
  <si>
    <t>6.3 - Impermeabilização Calhas</t>
  </si>
  <si>
    <t>Compr./Área</t>
  </si>
  <si>
    <t>7.0 - Reservatórios</t>
  </si>
  <si>
    <t>Item</t>
  </si>
  <si>
    <t>07.1</t>
  </si>
  <si>
    <t>Reservatório de 300 L</t>
  </si>
  <si>
    <t>Sanitórios Coletivos e Sanitário PNE</t>
  </si>
  <si>
    <t>07.2</t>
  </si>
  <si>
    <t>Reservatório de 1000 L</t>
  </si>
  <si>
    <t>07.3</t>
  </si>
  <si>
    <t>Instalação Reservatório de 300 L</t>
  </si>
  <si>
    <t>07.4</t>
  </si>
  <si>
    <t>Instalação Reservatório de 1000 L</t>
  </si>
  <si>
    <t>8.0 - Louças e Metais</t>
  </si>
  <si>
    <t>Sanitário Coletivo Masculino e Fem.</t>
  </si>
  <si>
    <t>8.1</t>
  </si>
  <si>
    <t>Vaso de Louça br. com Cx. Acoplada</t>
  </si>
  <si>
    <t>8.2</t>
  </si>
  <si>
    <t>Vaso para PNE</t>
  </si>
  <si>
    <t>Sanitários e WC</t>
  </si>
  <si>
    <t>8.3</t>
  </si>
  <si>
    <t>Instalação Vasos</t>
  </si>
  <si>
    <t>8.4</t>
  </si>
  <si>
    <t>Cuba de Embutir de louça br.</t>
  </si>
  <si>
    <t>8.5</t>
  </si>
  <si>
    <t>Lavatório de louça br. com coluna</t>
  </si>
  <si>
    <t>8.6</t>
  </si>
  <si>
    <t>Instalação de Lavatório</t>
  </si>
  <si>
    <t>8.7</t>
  </si>
  <si>
    <t>Torneira com sensor de presença</t>
  </si>
  <si>
    <t>Sanitário Coletivo Masculino e Fem./PNE</t>
  </si>
  <si>
    <t>8.8</t>
  </si>
  <si>
    <t>Torneira para lavagem</t>
  </si>
  <si>
    <t>8.9</t>
  </si>
  <si>
    <t>Instalação de torneira</t>
  </si>
  <si>
    <t>Sanitários PNE e Coletivos  e WC</t>
  </si>
  <si>
    <t>8.10</t>
  </si>
  <si>
    <t>Porta Papel Higiênico</t>
  </si>
  <si>
    <t>8.11</t>
  </si>
  <si>
    <t>Porta Toalha de Papel</t>
  </si>
  <si>
    <t>8.12</t>
  </si>
  <si>
    <t>Saboneteira ( sabonete e alcool)</t>
  </si>
  <si>
    <t>8.13</t>
  </si>
  <si>
    <t>Mictório de Louça Br.</t>
  </si>
  <si>
    <t>8.14</t>
  </si>
  <si>
    <t>Instalação de Mictório</t>
  </si>
  <si>
    <t>8.15</t>
  </si>
  <si>
    <t>Barra de Apoio para PNE</t>
  </si>
  <si>
    <t>8.18 - Espelho de Cristal de 4mm</t>
  </si>
  <si>
    <t>8.19 - Bancada de Granito</t>
  </si>
  <si>
    <t>8.20 - Frontispicio de Granito</t>
  </si>
  <si>
    <t>9.1 - Preparo de Paredes Novas</t>
  </si>
  <si>
    <t>Sala  1</t>
  </si>
  <si>
    <t>Paredes Ext.Sanitários</t>
  </si>
  <si>
    <t>9.2 - Pintura com Tinta Látex ( interna )</t>
  </si>
  <si>
    <t>Paredes</t>
  </si>
  <si>
    <t>Tetos</t>
  </si>
  <si>
    <t>Circulações Laterais</t>
  </si>
  <si>
    <t>Circulação Central ( cad )</t>
  </si>
  <si>
    <t>Lanternim ( laje )</t>
  </si>
  <si>
    <t>Beiral do Lanternim</t>
  </si>
  <si>
    <t>Beiral Interno</t>
  </si>
  <si>
    <t>9.3 - Pintura com Tinta Látex (externa )</t>
  </si>
  <si>
    <t>Fator Mult</t>
  </si>
  <si>
    <t>Colunas das Lanchonetes</t>
  </si>
  <si>
    <t>Colunas guiches e sanitários</t>
  </si>
  <si>
    <t>Platibanda/Projeção Platibanda</t>
  </si>
  <si>
    <t>Cobogós</t>
  </si>
  <si>
    <t>Paredes Ext . Lanchonetes</t>
  </si>
  <si>
    <t>Muro lateral</t>
  </si>
  <si>
    <t>9.4 - Preparo de Madeira Nova</t>
  </si>
  <si>
    <t>fator Mult</t>
  </si>
  <si>
    <t>WC Adminitração</t>
  </si>
  <si>
    <t>9.5 - Pintura em Esquadrias de Madeira</t>
  </si>
  <si>
    <t>9.6 - Repintura em Esquadrias de Ferro</t>
  </si>
  <si>
    <t>Portas de Aço das Lanchonetes</t>
  </si>
  <si>
    <t>Básculas do Lanternim</t>
  </si>
  <si>
    <t>Gradil Área Externa</t>
  </si>
  <si>
    <t>Gradil Área Externa ( montantes )</t>
  </si>
  <si>
    <t>9.6 - Repintura em Esquadrias de Madeira</t>
  </si>
  <si>
    <t>Circulação Guiche</t>
  </si>
  <si>
    <t>10.1 - Levatamento Fotográfico</t>
  </si>
  <si>
    <t>Nº Fotos</t>
  </si>
  <si>
    <t>Medições</t>
  </si>
  <si>
    <t>Total (unid )</t>
  </si>
  <si>
    <t>10.2 - Placa de Inauguração</t>
  </si>
  <si>
    <t>Placa de inauguração em alumínio, medindo 0,40 x 0,60m</t>
  </si>
  <si>
    <t>10.3  Limpeza em Piso de Marmorite</t>
  </si>
  <si>
    <t>10.4 - Placas de Identificação para Sanitários</t>
  </si>
  <si>
    <t>Identificação de Sanitário Masculino</t>
  </si>
  <si>
    <t>Identificação de Sanitário Feminino</t>
  </si>
  <si>
    <t>Identificação de Sanitário PNE  Masculino</t>
  </si>
  <si>
    <t>Identificação de Sanitário PNE  Feminino</t>
  </si>
  <si>
    <t>10.5 - Placas de Identificação Escrita em Braile</t>
  </si>
  <si>
    <t>10.6 - Placas de Identificação de Sala</t>
  </si>
  <si>
    <t>Identificação da Administração</t>
  </si>
  <si>
    <t>10.7- Letra de aço inox nº 22 com 20cm de altura</t>
  </si>
  <si>
    <t>RODOVIÁRIA DE PIRAÍ</t>
  </si>
  <si>
    <t>10.8 -Totem informativo nas dimensões de (0,50 x 1,50)m</t>
  </si>
  <si>
    <t>Totem informativo com o nome da Rodoviária</t>
  </si>
  <si>
    <t>PREFEITURA MUNICIPAL DE PIRAÍ</t>
  </si>
  <si>
    <t>Secretaria Municipal de Obras e Urbanismo</t>
  </si>
  <si>
    <t>Orç . Base 04/20</t>
  </si>
  <si>
    <t>OBRA: Obra de Reforma da Rodoviáaria Municipal de Piraí</t>
  </si>
  <si>
    <t>Local: Centro- PIRAÍ - RJ</t>
  </si>
  <si>
    <t>Preparado: SMOU</t>
  </si>
  <si>
    <t>PLANILHA ORÇAMENTÁRIA</t>
  </si>
  <si>
    <t>Prazo:  90 Dias</t>
  </si>
  <si>
    <t>CÓDIGO EMOP</t>
  </si>
  <si>
    <t>ITEM</t>
  </si>
  <si>
    <t>DISCRIMINAÇÃO DOS SERVIÇOS</t>
  </si>
  <si>
    <t>UNID</t>
  </si>
  <si>
    <t>QUANT</t>
  </si>
  <si>
    <t>PREÇO UNIT.SEM BDI</t>
  </si>
  <si>
    <t>PREÇO UNIT.COM BDI</t>
  </si>
  <si>
    <t>PREÇO TOTAL</t>
  </si>
  <si>
    <t>01.0</t>
  </si>
  <si>
    <t>SERVIÇOS PRELIMINARES</t>
  </si>
  <si>
    <t>02.020.0002-A</t>
  </si>
  <si>
    <t>01.1</t>
  </si>
  <si>
    <t>Placa de identificação de obra pública tipo BANNER / PLOTTER, constituída porlona e impressão digital, inclusive suportes de madeira.FORNECIMENTO eCOLOCAÇÃO</t>
  </si>
  <si>
    <t>M2</t>
  </si>
  <si>
    <t>02.006.0015-A</t>
  </si>
  <si>
    <t>01.2</t>
  </si>
  <si>
    <t>Aluguel de container (módulo metálico içável), para escritório com WC, medindo
aproximadamente 2,20m de largura, 6,20m de comprimento e 2,50m de altura,
composto de chapas de aço com nervuras trapezoidais, isolamento termo-acústico
no forro, chassis reforçado e piso em compensado naval, incluindo instalações
elétricas e hidrossanitárias, suprido de acessórios, 1 vaso sanitário e 1 lavatório,
exclusive transporte (vide item 04.005.0300), carga e descarga (vide item
04.013.0015</t>
  </si>
  <si>
    <t>UNXMÊS</t>
  </si>
  <si>
    <t>04.005.0300-A</t>
  </si>
  <si>
    <t>01.3</t>
  </si>
  <si>
    <t>Transporte de container, segundo descrição da família 02.006, exclusive carga e
descarga (vide item 04.013.0015)</t>
  </si>
  <si>
    <t>UNxKM</t>
  </si>
  <si>
    <t>04.013.0015-A</t>
  </si>
  <si>
    <t>01.4</t>
  </si>
  <si>
    <t>Carga e descarga de container, segundo descrição da família 02.006</t>
  </si>
  <si>
    <t>UN</t>
  </si>
  <si>
    <t>02.030.0005-A</t>
  </si>
  <si>
    <t>01.5</t>
  </si>
  <si>
    <t>Placa de sinalização preventiva para obra na via pública, de acordo com a
resolução da Prefeitura-RJ, compreendendo fornecimento e pintura da placa e dos
suportes de madeira. FORNECIMENTO e COLOCAÇÃO</t>
  </si>
  <si>
    <t>05.006.0001-B</t>
  </si>
  <si>
    <t>01.6</t>
  </si>
  <si>
    <t>Aluguel de andaime com elementos tubulares sobre sapatas fixas, considerando-se
a área da projeção vertical do andaime e pago pelo tempo necessário à sua
utilização, exclusive transporte dos elementos do andaime até a obra (vide item
04.020.0122), plataforma ou passarela de pinho (vide itens 05.005.0012 a
05.005.0015 ou 05.007.0007 e 05.008.0008), montagem e desmontagem dos
andaimes (vide item 05.008.0001</t>
  </si>
  <si>
    <t>M²xMÊS</t>
  </si>
  <si>
    <t>04.020.0122-A</t>
  </si>
  <si>
    <t>01.7</t>
  </si>
  <si>
    <t>Transporte de andaime tubular, considerando-se a área de projeção vertical do
andaime, exclusive carga, descarga e tempo de espera do caminhão (vide item
04.021.0010)</t>
  </si>
  <si>
    <t>M²xKM</t>
  </si>
  <si>
    <t>05.008.0008-B</t>
  </si>
  <si>
    <t>01.8</t>
  </si>
  <si>
    <t>Movimentação vertical ou horizontal de plataforma ou passarela</t>
  </si>
  <si>
    <t>05.008.0001-A</t>
  </si>
  <si>
    <t>01.9</t>
  </si>
  <si>
    <t>Montagem e desmontagem de andaime com elementos tubulares, considerando-se
a área vertical recoberta</t>
  </si>
  <si>
    <t>04.021.0010-A</t>
  </si>
  <si>
    <t>01.10</t>
  </si>
  <si>
    <t>Carga e descarga manual de andaime tubular, inclusive tempo de espera do
caminhão, considerando-se a área de projeção vertical</t>
  </si>
  <si>
    <t>04.006.0013-B</t>
  </si>
  <si>
    <t>01.11</t>
  </si>
  <si>
    <t>Carga e descarga manual de peças de peso reduzido: tijolos, telhas, cimento e agregados em sacos, em caminhão de carroceria fixa a óleo diesel, com capacidade útil de 7,5t, inclusive o tempo de carga, descarga e manobra</t>
  </si>
  <si>
    <t>T</t>
  </si>
  <si>
    <t>02.011.0010-A</t>
  </si>
  <si>
    <t>01.12</t>
  </si>
  <si>
    <t>Cerca protetora de borda de vala ou obra, com tela plástica na cor laranja ou
amarela, considerando 2 vezes de utilização, inclusive apoios, fornecimento,
colocação e retirada</t>
  </si>
  <si>
    <t>02.0</t>
  </si>
  <si>
    <t>DEMOLIÇÕES E RETIRADAS</t>
  </si>
  <si>
    <t>05.001.0023-A</t>
  </si>
  <si>
    <t>02.1</t>
  </si>
  <si>
    <r>
      <t xml:space="preserve">Demolição manual de alvenaria de tijolos furados, </t>
    </r>
    <r>
      <rPr>
        <b/>
        <sz val="10"/>
        <rFont val="Arial"/>
        <family val="2"/>
        <charset val="1"/>
      </rPr>
      <t>inclusive</t>
    </r>
    <r>
      <rPr>
        <sz val="10"/>
        <rFont val="Arial"/>
        <family val="2"/>
        <charset val="1"/>
      </rPr>
      <t xml:space="preserve"> empilhamento lateral
dentro do canteiro de serviço</t>
    </r>
  </si>
  <si>
    <t>M3</t>
  </si>
  <si>
    <t>05.001.0009-A</t>
  </si>
  <si>
    <t>02.2</t>
  </si>
  <si>
    <r>
      <t xml:space="preserve">Demolição de revestimento em azulejos, cerâmicas ou mármore em parede,
</t>
    </r>
    <r>
      <rPr>
        <b/>
        <sz val="10"/>
        <rFont val="Arial"/>
        <family val="2"/>
        <charset val="1"/>
      </rPr>
      <t>exclusive</t>
    </r>
    <r>
      <rPr>
        <sz val="10"/>
        <rFont val="Arial"/>
        <family val="2"/>
        <charset val="1"/>
      </rPr>
      <t xml:space="preserve"> a camada de assentamento</t>
    </r>
  </si>
  <si>
    <t>05.001.0014-A</t>
  </si>
  <si>
    <t>02.3</t>
  </si>
  <si>
    <t>Demolição de argamassa de assentamento de azulejo, cerâmica ou mármore em
parede, inclusive empilhamento lateral dentro do canteiro de serviço</t>
  </si>
  <si>
    <t>05.001.0031-A</t>
  </si>
  <si>
    <t>02.4</t>
  </si>
  <si>
    <r>
      <t xml:space="preserve">Demolição de piso de alta resistência, </t>
    </r>
    <r>
      <rPr>
        <b/>
        <sz val="10"/>
        <rFont val="Arial"/>
        <family val="2"/>
        <charset val="1"/>
      </rPr>
      <t>exclusive</t>
    </r>
    <r>
      <rPr>
        <sz val="10"/>
        <rFont val="Arial"/>
        <family val="2"/>
        <charset val="1"/>
      </rPr>
      <t xml:space="preserve"> camada de assentamento (contrapiso)</t>
    </r>
  </si>
  <si>
    <t>05.001.0145-A</t>
  </si>
  <si>
    <t>02.5</t>
  </si>
  <si>
    <t>Arrancamento de aparelhos sanitários</t>
  </si>
  <si>
    <t>05.001.0146-A</t>
  </si>
  <si>
    <t>02.6</t>
  </si>
  <si>
    <t>Arrancamento de bancada de pia/lavatório ou banca seca de até 1,00m de altura e
até 0,80m de largura</t>
  </si>
  <si>
    <t>M</t>
  </si>
  <si>
    <t>05.001.0021-A</t>
  </si>
  <si>
    <t>02.7</t>
  </si>
  <si>
    <t>Demolição a ponteiro, de base suporte, contrapiso, camada regularizadora ou de
assentamento de tacos, cerâmicas e azulejos, com espessura até 4cm</t>
  </si>
  <si>
    <t>05.001.0007-A</t>
  </si>
  <si>
    <t>02.8</t>
  </si>
  <si>
    <t>Demolição de revestimento em argamassa de cal e areia ou cimento e saibro</t>
  </si>
  <si>
    <t>05.001.0134-A</t>
  </si>
  <si>
    <t>02.09</t>
  </si>
  <si>
    <t>Arrancamento de portas, janelas e caixilhos de ar condicionado ou outros</t>
  </si>
  <si>
    <t>05.001.0041-A</t>
  </si>
  <si>
    <t>02.10</t>
  </si>
  <si>
    <r>
      <t>Remoção de cobertura em telhas de fibrocimento convencional, ondulada ,</t>
    </r>
    <r>
      <rPr>
        <b/>
        <sz val="10"/>
        <rFont val="Arial"/>
        <family val="2"/>
        <charset val="1"/>
      </rPr>
      <t xml:space="preserve">inclusive </t>
    </r>
    <r>
      <rPr>
        <sz val="10"/>
        <rFont val="Arial"/>
        <family val="2"/>
        <charset val="1"/>
      </rPr>
      <t>madeiramento, medido o conjunto pela área real de cobertura</t>
    </r>
  </si>
  <si>
    <t>05.001.0012-A</t>
  </si>
  <si>
    <t>02.11</t>
  </si>
  <si>
    <r>
      <t xml:space="preserve">Demolição de revestimento de argamassa de cimento e areia e impermeabilizante em reservatórios ou outra superfície de concreto, </t>
    </r>
    <r>
      <rPr>
        <b/>
        <sz val="10"/>
        <rFont val="Arial"/>
        <family val="2"/>
        <charset val="1"/>
      </rPr>
      <t>inclusive</t>
    </r>
    <r>
      <rPr>
        <sz val="10"/>
        <rFont val="Arial"/>
        <family val="2"/>
        <charset val="1"/>
      </rPr>
      <t xml:space="preserve"> limpeza com escova de
aço, </t>
    </r>
    <r>
      <rPr>
        <b/>
        <sz val="10"/>
        <rFont val="Arial"/>
        <family val="2"/>
        <charset val="1"/>
      </rPr>
      <t>exclusive</t>
    </r>
    <r>
      <rPr>
        <sz val="10"/>
        <rFont val="Arial"/>
        <family val="2"/>
        <charset val="1"/>
      </rPr>
      <t xml:space="preserve"> jato de areia, água ou ar ( </t>
    </r>
    <r>
      <rPr>
        <sz val="10"/>
        <color rgb="FFFF0000"/>
        <rFont val="Arial"/>
        <family val="2"/>
        <charset val="1"/>
      </rPr>
      <t xml:space="preserve">calhas </t>
    </r>
    <r>
      <rPr>
        <sz val="10"/>
        <rFont val="Arial"/>
        <family val="2"/>
        <charset val="1"/>
      </rPr>
      <t>)</t>
    </r>
  </si>
  <si>
    <t>05.004.0010-A</t>
  </si>
  <si>
    <t>02.12</t>
  </si>
  <si>
    <t>Limpeza de concreto aparente com jato d’água, solvente e escova de piaçava</t>
  </si>
  <si>
    <t>05.001.0876-A</t>
  </si>
  <si>
    <t>02.13</t>
  </si>
  <si>
    <t>Raspagem com espátula de aço ou escova de aço para remoção de craquele de
pintura</t>
  </si>
  <si>
    <t>04.014.0095-A</t>
  </si>
  <si>
    <t>02.14</t>
  </si>
  <si>
    <t>Retirada de entulho de obra com caçamba de aço tipo container com 5m³ de capacidade, inclusive carregamento, transporte e descarregamento. Custo por
unidade de caçamba e inclui a taxa para descarga em locais autorizados</t>
  </si>
  <si>
    <t>05.001.0170-A</t>
  </si>
  <si>
    <t>02.15</t>
  </si>
  <si>
    <t>Transporte horizontal de material de 1ª categoria ou entulho, em carrinhos, a 10,00m de distância, inclusive carga a pá</t>
  </si>
  <si>
    <t>03.0</t>
  </si>
  <si>
    <t>ALVENARIA E DIVISÓRIAS</t>
  </si>
  <si>
    <t>12.003.0075-B</t>
  </si>
  <si>
    <t>03.1</t>
  </si>
  <si>
    <t>Alvenaria de tijolos cerâmicos furados 10 x 20 x 20cm, assentes com argamassa de cimento e saibro, no traço 1:8, em paredes de meia vez (0,10m), de superfície
corrida, até 3,00m de altura e medida pela área real</t>
  </si>
  <si>
    <t>12.035.0005-A</t>
  </si>
  <si>
    <t>03.2</t>
  </si>
  <si>
    <r>
      <t xml:space="preserve">Parede divisória para sanitário em granito cinza corumbá, com 3cm de espessura,polida nas duas faces, fixação piso ou parede, </t>
    </r>
    <r>
      <rPr>
        <b/>
        <sz val="10"/>
        <rFont val="Arial"/>
        <family val="2"/>
        <charset val="1"/>
      </rPr>
      <t>exclusive</t>
    </r>
    <r>
      <rPr>
        <sz val="10"/>
        <rFont val="Arial"/>
        <family val="2"/>
        <charset val="1"/>
      </rPr>
      <t xml:space="preserve"> ferragens para fixação.
FORNECIMENTO e COLOCAÇÃO</t>
    </r>
  </si>
  <si>
    <t>11.013.0003-B</t>
  </si>
  <si>
    <t>03.3</t>
  </si>
  <si>
    <t>Vergas de concreto armado para alvenaria, com aproveitamento da madeira por 10
vezes</t>
  </si>
  <si>
    <t>04.0</t>
  </si>
  <si>
    <t>REVESTIMENTO DE PISO, PAREDES E TETO</t>
  </si>
  <si>
    <t>13.001.0010-B</t>
  </si>
  <si>
    <t>04.1</t>
  </si>
  <si>
    <t>Chapisco em superfície de concreto ou alvenaria, com argamassa de cimento e areia, no traço 1:3, com 5mm de espessura</t>
  </si>
  <si>
    <t>13.001.0036-A</t>
  </si>
  <si>
    <t>04.2</t>
  </si>
  <si>
    <r>
      <t xml:space="preserve">Emboço interno com argamassa de cimento, cal hidratada aditivada e areia,no traço 1:1:8, com 1,5cm de espessura, </t>
    </r>
    <r>
      <rPr>
        <b/>
        <sz val="10"/>
        <rFont val="Arial"/>
        <family val="2"/>
        <charset val="1"/>
      </rPr>
      <t>exclusive</t>
    </r>
    <r>
      <rPr>
        <sz val="10"/>
        <rFont val="Arial"/>
        <family val="2"/>
        <charset val="1"/>
      </rPr>
      <t xml:space="preserve"> chapisco</t>
    </r>
  </si>
  <si>
    <t>13.001.0106-A</t>
  </si>
  <si>
    <t>04.3</t>
  </si>
  <si>
    <t>Recomposição de revestimento com argamassa de cimento e areia, no traço 1:3
com 2cm de espessura, aditivada com 10% de microssílica</t>
  </si>
  <si>
    <t>13.030.0290-A</t>
  </si>
  <si>
    <t>04.4</t>
  </si>
  <si>
    <r>
      <t xml:space="preserve">Revestimento de paredes com cerâmica, medindo em torno de 32x57cm, assente
argamassa colante e rejuntamento com argamassa industrializada, </t>
    </r>
    <r>
      <rPr>
        <b/>
        <sz val="10"/>
        <rFont val="Arial"/>
        <family val="2"/>
        <charset val="1"/>
      </rPr>
      <t>exclusive</t>
    </r>
    <r>
      <rPr>
        <sz val="10"/>
        <rFont val="Arial"/>
        <family val="2"/>
        <charset val="1"/>
      </rPr>
      <t xml:space="preserve"> chapisco</t>
    </r>
  </si>
  <si>
    <t>13.301.0131-A</t>
  </si>
  <si>
    <t>04.5</t>
  </si>
  <si>
    <t>Contrapiso, base ou camada regularizadora executada com argamassa de cimento e areia, no traço 1:4, na espessura de 1,5cm</t>
  </si>
  <si>
    <t>13.331.0015-A</t>
  </si>
  <si>
    <t>04.6</t>
  </si>
  <si>
    <t>Revestimento de piso cerâmico em porcelanato técnico natural, acabamento da borda retificado, para uso em áreas comerciais com acesso para rua, no formato (60x60)cm, assentes em superfície em osso com argamassa de cimento e cola (argamassa colante) e rejuntamento pronto</t>
  </si>
  <si>
    <t>84191 sinapi</t>
  </si>
  <si>
    <t>04.7</t>
  </si>
  <si>
    <t>Piso em granilite, marmorite ou granitina, espessura 8mm, incluso juntas de dilatação plástica</t>
  </si>
  <si>
    <t>13.365.0075-A</t>
  </si>
  <si>
    <t>04.8</t>
  </si>
  <si>
    <t>Revestimento de piso com granito cinza corumbá, em placas, com espessura de
2cm, polido e lustrado, assente com argamassa colante, juntas de 2mm de espessura e rejuntamento pronto</t>
  </si>
  <si>
    <t>87256 sinapi</t>
  </si>
  <si>
    <t>04.9</t>
  </si>
  <si>
    <t>Revestimento cerâmico para piso com placas tipo esmaltada extra de dimensões 60x60cm aplicada em ambientes de área ente 5m2 e 10m2 . AF_06/2014</t>
  </si>
  <si>
    <t>13.331.0050-A</t>
  </si>
  <si>
    <t>04.10</t>
  </si>
  <si>
    <t>Rodapé com cerâmica em porcelanato técnico natural , com 7,5 a 10cm de altura,
assentes conforme item 13.025.0016</t>
  </si>
  <si>
    <t>13.365.0170-A</t>
  </si>
  <si>
    <t>04.11</t>
  </si>
  <si>
    <t>Soleira em granito cinza corumbá, 2cm de espessura, com 2 polimentos, largura de
13cm, assente em superfície em osso, com nata de cimento sobre argamassa de
cimento, saibro e areia, no traço 1:2:2 e rejuntamento com cimento branco e corante</t>
  </si>
  <si>
    <t>13.175.0010-A</t>
  </si>
  <si>
    <t>04.12</t>
  </si>
  <si>
    <t>Forro de PVC em réguas de 200mm de largura, espessura igual ou superior a
8mm, encaixados entre si, inclusive rodaforro de PVC para acabamento, estrutura
em metalon (20x20)mm e parafusos de fixação. FORNECIMENTO e
COLOCAÇÃO</t>
  </si>
  <si>
    <t>05.0</t>
  </si>
  <si>
    <t>ESQUADRIAS</t>
  </si>
  <si>
    <t>14.006.0005-A</t>
  </si>
  <si>
    <t>05.1</t>
  </si>
  <si>
    <t>Porta de madeira de lei em compensado, de 100 x 210 x 3,5cm, folheada nas 2 faces, aduela de 13 x 3cm e alizares de 5 x 2cm, exclusive ferragens.FORNECIMENTO e COLOCAÇÃO</t>
  </si>
  <si>
    <t>14.006.0010-A</t>
  </si>
  <si>
    <t>05.2</t>
  </si>
  <si>
    <t>Porta de madeira de lei em compensado, de 80 x 210 x 3,5cm, folheada nas 2 faces, aduela de 13 x 3cm e alizares de 5 x 2cm, exclusive ferragens.FORNECIMENTO e COLOCAÇÃO</t>
  </si>
  <si>
    <t>14.006.0014-A</t>
  </si>
  <si>
    <t>05.3</t>
  </si>
  <si>
    <t>Porta de madeira de lei em compensado, de 60 x 210 x 3,5cm, folheada nas 2 faces, aduela de 13 x 3cm e alizares de 5 x 2cm, exclusive ferragens.FORNECIMENTO e COLOCAÇÃO</t>
  </si>
  <si>
    <t>CP01</t>
  </si>
  <si>
    <t>05.4</t>
  </si>
  <si>
    <t>Porta de Vidro Serigrafada</t>
  </si>
  <si>
    <t>14.007.0015-A</t>
  </si>
  <si>
    <t>05.5</t>
  </si>
  <si>
    <t>Ferragens para porta de madeira, de 1 folha de abrir, de entrada principal,
constando de fornecimento sem colocação (esta incluída no fornecimento e
colocação das esquadrias), de                                                                                           -Fechadura de cilindro de ferro, acabamento cromado
-Maçaneta tipo bola em zamak polido e cromado
-Espelho retangular em ferro polido, acabamento cromado
-3 dobradiças 3” x 3” de ferro galvanizado, com pino e bolas de latão</t>
  </si>
  <si>
    <t>18.016.0125-A</t>
  </si>
  <si>
    <t>05.6</t>
  </si>
  <si>
    <t>Barra de apoio (puxador horizontal/vertical), em aço inoxidável AISI 304, tubo de 1 1/4", inclusive fixação com parafusos inoxidáveis e buchas plásticas, com 40cm, para portas de sanitários, vestiários e quartos acessíveis em locais de hospedagem e de saúde. FORNECIMENTO e INSTALAÇÃO</t>
  </si>
  <si>
    <t>14.007.0296-A</t>
  </si>
  <si>
    <t>05.7</t>
  </si>
  <si>
    <t>Fecho de sobrepor “Livre-Ocupado”, inclusive targeta com tranca fixa.</t>
  </si>
  <si>
    <t>CP02</t>
  </si>
  <si>
    <t>05.8</t>
  </si>
  <si>
    <t>Chapa metalica (alumínio) 0,8*0,5x 1mm para as portas - fornecimento e instalação</t>
  </si>
  <si>
    <t>06.0</t>
  </si>
  <si>
    <t>COBERTURA</t>
  </si>
  <si>
    <t>92580 SINAPI</t>
  </si>
  <si>
    <t>06.1</t>
  </si>
  <si>
    <t>Trama de aço composta por terças para telhados até 2 águas para telha ondulada de fibrocimento , metálica, plástica ou termoacustica, incluso transporte vertical. AF_07/2019</t>
  </si>
  <si>
    <t>92602 SINAPI</t>
  </si>
  <si>
    <t>06.2</t>
  </si>
  <si>
    <t>FABRICAÇÃO E INSTALAÇÃO DE TESOURA INTEIRA EM AÇO, VÃO DE 3 M, PARA TELHA ONDULADA DE FIBROCIMENTO, METÁLICA, PLÁSTICA OU TERMOACÚSTICA, INCLUSO IÇAMENTO.. AF_12/2015</t>
  </si>
  <si>
    <t>94213 SINAPI</t>
  </si>
  <si>
    <t>06.3</t>
  </si>
  <si>
    <t>Telhamento com telha de aço/alumínio  e = 0,5 mm, com até 2 águas, incluso içamento. AF_07/201</t>
  </si>
  <si>
    <t>16.030.0010-A</t>
  </si>
  <si>
    <t>06.4</t>
  </si>
  <si>
    <t>Impermeabilização de banheiro ou marquise sujeita a tráfego leve,com proteção mecânica, exclusive esta, utilizando elastômero de poliuretano (preto), aplicado a frio em 5 demãos (1,5kg/m²)</t>
  </si>
  <si>
    <t>07.0</t>
  </si>
  <si>
    <t>RESERVATÓRIOS</t>
  </si>
  <si>
    <t>18.021.0025-A</t>
  </si>
  <si>
    <t>Reservatório apoiado para armazenamento de água potável ou para aproveitamento de água da chuva AAC, em fibra de vidro ou polietileno, com capacidade em torno de 300 L, inclusive tampa de vedação com escotilha efixadores, conforme normas ABNT NBR 15527, NBR 12217 e NBR 8220. FORNECIMENTO</t>
  </si>
  <si>
    <t>18.021.0035-A</t>
  </si>
  <si>
    <t>Reservatório apoiado para armazenamento de água potável ou para aproveitamento de água da chuva AAC, em fibra de vidro ou polietileno, com capacidade em torno de 1000 L, inclusive tampa de vedação com escotilha efixadores, conforme normas ABNT NBR 15527, NBR 12217 e NBR 8220. FORNECIMENTO</t>
  </si>
  <si>
    <t>15.028.0003-A</t>
  </si>
  <si>
    <t>Colocação de reservatório de fibrocimento, fibra de vidro ou semelhante de 300L,inclusive peças de apoio em alvenaria e madeira serrada, e flanges de ligação hidráulica, exclusive fornecimento do reservatório</t>
  </si>
  <si>
    <t>15.028.0010-A</t>
  </si>
  <si>
    <t>Colocação de reservatório de fibrocimento, fibra de vidro ou semelhante de 1000L,inclusive peças de apoio em alvenaria e madeira serrada, e flanges de ligação hidráulica, exclusive fornecimento do reservatório</t>
  </si>
  <si>
    <t>08.0</t>
  </si>
  <si>
    <t>LOUÇAS E METAIS</t>
  </si>
  <si>
    <t>18.002.0065-A</t>
  </si>
  <si>
    <t>08.1</t>
  </si>
  <si>
    <t>Vaso sanitário de louça branca, tipo popular, com caixa acoplada, completo, com
medidas em torno de 35 x 65 x 35cm, inclusive assento plástico tipo popular, bolsa de ligação, rabicho em PVC e acessórios de fixação. FORNECIMENTO</t>
  </si>
  <si>
    <t>18.002.0090-A</t>
  </si>
  <si>
    <t>08.2</t>
  </si>
  <si>
    <t>Vaso sanitário de louça branca ou branco gelo, para pessoas com necessidades
específicas, inclusive assento especial, bolsa de ligação e acessórios de fixação.
FORNECIMENTO</t>
  </si>
  <si>
    <t>15.004.0103-A</t>
  </si>
  <si>
    <t>08.3</t>
  </si>
  <si>
    <r>
      <t>Instalação e assentamento de vaso sanitário com caixa acoplada, com 2,00m de
tubo de PVC de 25mm, até a caixa acoplada, ligação de esgotos com 3,00m de tubo de PVC de 100mm aos tubos de queda e ventilação,</t>
    </r>
    <r>
      <rPr>
        <b/>
        <sz val="10"/>
        <rFont val="Arial"/>
        <family val="2"/>
        <charset val="1"/>
      </rPr>
      <t xml:space="preserve"> inclusive </t>
    </r>
    <r>
      <rPr>
        <sz val="10"/>
        <rFont val="Arial"/>
        <family val="2"/>
        <charset val="1"/>
      </rPr>
      <t>conexões,</t>
    </r>
    <r>
      <rPr>
        <b/>
        <sz val="10"/>
        <rFont val="Arial"/>
        <family val="2"/>
        <charset val="1"/>
      </rPr>
      <t xml:space="preserve"> exclusive</t>
    </r>
    <r>
      <rPr>
        <sz val="10"/>
        <rFont val="Arial"/>
        <family val="2"/>
        <charset val="1"/>
      </rPr>
      <t xml:space="preserve"> os tubos de queda e ventilação</t>
    </r>
  </si>
  <si>
    <t>18.002.0029-A</t>
  </si>
  <si>
    <t>08.4</t>
  </si>
  <si>
    <t>Cuba de louça branca, de sobrepor, oval, inclusive rabicho em metal cromado, sifão em metal cromado, torneira para lavatório tipo banca 1193 ou similar de 1/2” e válvula de
escoamento</t>
  </si>
  <si>
    <t>18.002.0014-A</t>
  </si>
  <si>
    <t>08.5</t>
  </si>
  <si>
    <t>Lavatório de louça branca, com coluna suspensa, para pessoas com necessidades
específicas, com medidas em torno de 45,5 x 35,5cm, inclusive sifão em PVC flexível, válvula de escoamento cromada, rabicho em PVC, torneira de fechamento automático de parede,antivandalismo, de   para lavatório e acessórios de fixação. FORNECIMENTO</t>
  </si>
  <si>
    <t>15.004.0063-A</t>
  </si>
  <si>
    <t>08.6</t>
  </si>
  <si>
    <t>Instalação e assentamento de lavatório de uma torneira (exclusive fornecimento do
aparelho), compreendendo: 3,00m de tubo de PVC de 25mm, 2,00m de tubo PVC
de 40mm e conexões</t>
  </si>
  <si>
    <t>18.009.0115-A</t>
  </si>
  <si>
    <t>08.7</t>
  </si>
  <si>
    <t>Torneira para lavatório, automática, com sensor de presença. FORNECIMENTO</t>
  </si>
  <si>
    <t>18.009.0078-A</t>
  </si>
  <si>
    <t>08.8</t>
  </si>
  <si>
    <t>Torneira para jardim, de 3/4” x 10cm aproximadamente, em metal cromado.
FORNECIMENTO</t>
  </si>
  <si>
    <t>15.003.0379-A</t>
  </si>
  <si>
    <t>08.9</t>
  </si>
  <si>
    <t>Assentamento de torneira (exclusive fornecimento do aparelho), inclusive materiais necessários</t>
  </si>
  <si>
    <t>18.005.0013-A</t>
  </si>
  <si>
    <t>08.10</t>
  </si>
  <si>
    <t>Porta papel higiênico em plástico ABS. FORNECIMENTO e COLOCAÇÃO</t>
  </si>
  <si>
    <t>18.005.0012-A</t>
  </si>
  <si>
    <t>08.11</t>
  </si>
  <si>
    <t>Porta-toalha de papel em plástico ABS. FORNECIMENTO e COLOCAÇÃO</t>
  </si>
  <si>
    <t>95547 SINAPI</t>
  </si>
  <si>
    <t>08.12</t>
  </si>
  <si>
    <t>Saboneteira plástica tipo Dispense para sabonete liquído  e ou álcool gel com reservatório para 800 a 1500ml, incluso fixação AF_10/2016</t>
  </si>
  <si>
    <t>18.002.0055-A</t>
  </si>
  <si>
    <t>08.13</t>
  </si>
  <si>
    <t>Mictório de louça branca com sifão integrado e medidas em torno de 33 x 28 x53cm, inclusive acessórios de fixação. Ferragens em metal cromado: registro de pressão 1416 de 1/2” e tubo de ligação de 1/2”. FORNECIMENTO</t>
  </si>
  <si>
    <t>15.004.0050-A</t>
  </si>
  <si>
    <t>08.14</t>
  </si>
  <si>
    <t>Instalação e assentamento de mictório (exclusive fornecimento do aparelho),
compreendendo: 3,00m de tubo de PVC de 25mm, 1,50m de tubos de PVC de 40mm e 50mm, cada, conexões e ralo sifonado de PVC com 100 x 100 x 50mm,com tampa cega</t>
  </si>
  <si>
    <t>18.016.0111-A</t>
  </si>
  <si>
    <t>08.15</t>
  </si>
  <si>
    <t>Barra de apoio em aço inoxidável AISI 304, tubo de 1 1/4", em “L”, inclusive fixação com parafusos inoxidáveis e buchas plásticas, medindo 70 x 70cm, para pessoas com necessidades específicas. FORNECIMENTO e COLOCAÇÃO</t>
  </si>
  <si>
    <t>14.004.0100-A</t>
  </si>
  <si>
    <t>08.16</t>
  </si>
  <si>
    <t>Espelho de Cristal , 4mm de espessura.FORNECIMENTO E COLOCACAO</t>
  </si>
  <si>
    <t>18.081.0052-A</t>
  </si>
  <si>
    <t>08.17</t>
  </si>
  <si>
    <t>Banca de granito cinza corumbá, com 3cm de espessura, com abertura para 1 cuba
(exclusive esta), sobre apoios de alvenaria de meia vez e verga de concreto, sem
revestimento. FORNECIMENTO e COLOCAÇÃO</t>
  </si>
  <si>
    <t>18.081.0105-A</t>
  </si>
  <si>
    <t>08.18</t>
  </si>
  <si>
    <t>Frontispício de granito cinza corumbá, com seção de 10 x 2cm, inclusive rejuntamento. FORNECIMENTO e COLOCAÇÃO</t>
  </si>
  <si>
    <t>09.0</t>
  </si>
  <si>
    <t>PINTURA</t>
  </si>
  <si>
    <t>17.018.0010-A</t>
  </si>
  <si>
    <t>09.1</t>
  </si>
  <si>
    <t>Preparo de superfícies novas, com revestimento liso, interior, inclusive raspagem,
limpeza, uma demão de selador, uma demão de massa corrida e lixamentos necessários</t>
  </si>
  <si>
    <t>17.018.0031-A</t>
  </si>
  <si>
    <t>09.2</t>
  </si>
  <si>
    <t>Pintura com tinta látex, classificação premium ou standard (NBR 15079), fosca em revestimento liso, interior, acabamento de alta classe, em três demãos e mais uma demão de massa corrida e lixamento, sobre a superfície já preparada, conforme o item 17.018.0010, exclusive este preparo</t>
  </si>
  <si>
    <t>17.018.0050-A</t>
  </si>
  <si>
    <t>09.3</t>
  </si>
  <si>
    <t>Pintura com tinta látex, classificação standard ou premium, para interior e exterior
(NBR 15079), sobre chapisco, inclusive selador e duas demãos de acabamento</t>
  </si>
  <si>
    <t>17.017.0110-A</t>
  </si>
  <si>
    <t>09.4</t>
  </si>
  <si>
    <t>Pintura interna ou externa sobre madeira, com tinta a óleo brilhante ou acetinada,
lixamento, uma demão de verniz isolante incolor, duas demãos de massa para madeira, lixamento e remoção de pó, uma demão de fundo sintético nivelador e duas demãos de acabamento</t>
  </si>
  <si>
    <t>17.017.0301-A</t>
  </si>
  <si>
    <t>09.5</t>
  </si>
  <si>
    <t>Repintura interna ou externa sobre ferro, com tinta a óleo brilhante, inclusive lixamento leve, limpeza, uma demão de antióxido e uma demão de acabamento na cor existente</t>
  </si>
  <si>
    <t>17.017.0176-A</t>
  </si>
  <si>
    <t>09.6</t>
  </si>
  <si>
    <t>Repintura interna sobre madeira com esmalte sintético alto brilho ou acetinado, sobre superfície já pintada em bom estado, após lixamento, limpeza, duas demãos de acabamento com material da mesma linha de fabricação e na cor existente</t>
  </si>
  <si>
    <t>10.0</t>
  </si>
  <si>
    <t>SERVIÇOS DIVERSOS</t>
  </si>
  <si>
    <t>01.016.0092-A</t>
  </si>
  <si>
    <t>010.1</t>
  </si>
  <si>
    <t>Levantamento fotográfico de aspecto de área urbana, com impressão colorida</t>
  </si>
  <si>
    <t>05.050.0001-A</t>
  </si>
  <si>
    <t>010.2</t>
  </si>
  <si>
    <t>Placa de inauguração em alumínio, medindo 0,40 x 0,60m, com 1mm de espessura, com inscrição em plotter. FORNECIMENTO e COLOCAÇÃO</t>
  </si>
  <si>
    <t>05.001.0820-A</t>
  </si>
  <si>
    <t>010.3</t>
  </si>
  <si>
    <t>Limpeza e polimento de piso de alta resistência, antigo, usando estuque com adesivo, cimento branco e corante, sendo 2 polimentos mecânicos</t>
  </si>
  <si>
    <t>05.054.0015-A</t>
  </si>
  <si>
    <t>010.4</t>
  </si>
  <si>
    <t>Placa de acrílico, desenhada, indicando sanitário masculino ou feminino, de 39 x
19cm, conforme detalhe nº 6035/EMOP. FORNECIMENTO e COLOCAÇÃO</t>
  </si>
  <si>
    <t>05.057.0010-A</t>
  </si>
  <si>
    <t>010.5</t>
  </si>
  <si>
    <t>Placa de identificação em aço inoxidável, escrita em braille, medindo 8 x 25cm.
FORNECIMENTO e COLOCAÇÃO</t>
  </si>
  <si>
    <t>05.054.0001-A</t>
  </si>
  <si>
    <t>010.6</t>
  </si>
  <si>
    <t>Placa de acrílico para identificação de salas, medindo 8 x 25cm, conforme detalhe
nº 6033/EMOP, polida nas bordas. FORNECIMENTO e COLOCAÇÃO</t>
  </si>
  <si>
    <t>05.055.0010-A</t>
  </si>
  <si>
    <t>010.7</t>
  </si>
  <si>
    <t>Letra de aço inox nº 22 com 20cm de altura. ( RODOVIÁRIA DE PIRAÍ )FORNECIMENTO e COLOCAÇÃO</t>
  </si>
  <si>
    <t>05.054.0040-A</t>
  </si>
  <si>
    <t>010.8</t>
  </si>
  <si>
    <t>Totem informativo nas dimensões de (0,50 x 1,50)m, produzido em resina de poliéster reforçado com fibra de vidro e coremat, com impressão serigráfica ou policromática em dupla face agregada ao material com U.V, pré-acelerado,catalizado e pigmentado. Estrutura de amarração em perfil de aço carbono laminado nº 14 e sustentação tubular vertical com 1,80m em tubo de aço de bitolade 3,5” e espessura nº 14, conforme projeto FPJ. FORNECIMENTO e COLOCAÇÃO</t>
  </si>
  <si>
    <t>TOTAL GERAL</t>
  </si>
  <si>
    <t>Notas:</t>
  </si>
  <si>
    <r>
      <t xml:space="preserve">1- Este orçamento foi baseado no sistema de custos unitários do  </t>
    </r>
    <r>
      <rPr>
        <b/>
        <sz val="10"/>
        <rFont val="Arial"/>
        <family val="2"/>
        <charset val="1"/>
      </rPr>
      <t>EMOP</t>
    </r>
    <r>
      <rPr>
        <sz val="11"/>
        <color rgb="FF000000"/>
        <rFont val="Calibri"/>
        <family val="2"/>
        <charset val="1"/>
      </rPr>
      <t xml:space="preserve">-RJ, 13ª edição e ou SINAPI - Preços referentes a </t>
    </r>
    <r>
      <rPr>
        <b/>
        <sz val="10"/>
        <rFont val="Arial"/>
        <family val="2"/>
        <charset val="1"/>
      </rPr>
      <t>Abril 2020</t>
    </r>
  </si>
  <si>
    <t>2- Os itens que possuem códigos genéricos, foram considerados preços de mercado</t>
  </si>
  <si>
    <r>
      <t>3- Fórmulas na coluna Preço Total, para a linha 11 por, exemplo:</t>
    </r>
    <r>
      <rPr>
        <b/>
        <sz val="10"/>
        <rFont val="Arial"/>
        <family val="2"/>
        <charset val="1"/>
      </rPr>
      <t xml:space="preserve"> = arred(soma(E11*G11);2)</t>
    </r>
    <r>
      <rPr>
        <sz val="11"/>
        <color rgb="FF000000"/>
        <rFont val="Calibri"/>
        <family val="2"/>
        <charset val="1"/>
      </rPr>
      <t xml:space="preserve"> é o modo como são definidos os centavos, método a ser aplicado pelo Licitante em sua planilha.</t>
    </r>
  </si>
  <si>
    <r>
      <t>3- Fórmulas na coluna Preço com BDI, para a linha 11 por, exemplo:</t>
    </r>
    <r>
      <rPr>
        <b/>
        <sz val="10"/>
        <rFont val="Arial"/>
        <family val="2"/>
        <charset val="1"/>
      </rPr>
      <t xml:space="preserve"> =TRUNCAR</t>
    </r>
    <r>
      <rPr>
        <b/>
        <sz val="10"/>
        <color rgb="FF000000"/>
        <rFont val="Arial"/>
        <family val="2"/>
        <charset val="1"/>
      </rPr>
      <t>(F11*$G$7;2)</t>
    </r>
    <r>
      <rPr>
        <b/>
        <sz val="10"/>
        <rFont val="Arial"/>
        <family val="2"/>
        <charset val="1"/>
      </rPr>
      <t>)</t>
    </r>
    <r>
      <rPr>
        <sz val="11"/>
        <color rgb="FF000000"/>
        <rFont val="Calibri"/>
        <family val="2"/>
        <charset val="1"/>
      </rPr>
      <t xml:space="preserve"> é o modo como são definidos os centavos, método a ser aplicado pelo Licitante em sua planilha.</t>
    </r>
  </si>
  <si>
    <t>4- Em caso de divergência de informação entre o projeto e a planilha de orçamento, prevalecerão as especificações do projeto.</t>
  </si>
  <si>
    <t>5- Ficará por conta do contratado os projetos complementares necessários para execução da obra</t>
  </si>
  <si>
    <r>
      <t xml:space="preserve">6- Os preços contidos nesta planilha estão com </t>
    </r>
    <r>
      <rPr>
        <b/>
        <sz val="10"/>
        <rFont val="Arial"/>
        <family val="2"/>
        <charset val="1"/>
      </rPr>
      <t>BDI de 25%</t>
    </r>
  </si>
  <si>
    <t>7 - Preços com Desoneração</t>
  </si>
  <si>
    <t>OBRA: Obra Reforma Rodoviária de Piraí</t>
  </si>
  <si>
    <t>Local: Centro - Piraí - RJ</t>
  </si>
  <si>
    <t>CRONOGRAMA FÍSICO FINANCEIRO</t>
  </si>
  <si>
    <t>DISCRIMINAÇÃO</t>
  </si>
  <si>
    <t>DIAS</t>
  </si>
  <si>
    <t>TOTAL</t>
  </si>
  <si>
    <t>60</t>
  </si>
  <si>
    <t>90</t>
  </si>
  <si>
    <t>REVESTIMENTO DE PISO, TETO E PAREDES</t>
  </si>
  <si>
    <t>RESERVATÓRIO</t>
  </si>
  <si>
    <t>010.0</t>
  </si>
  <si>
    <t>o</t>
  </si>
  <si>
    <t>% ACUMULADO</t>
  </si>
  <si>
    <t>CPU-01</t>
  </si>
  <si>
    <t>PORTA DE VIDRO SERIGRAFADO</t>
  </si>
  <si>
    <t>FONTE</t>
  </si>
  <si>
    <t>CÓDIGO</t>
  </si>
  <si>
    <t>DESCRIÇÃO DO INSUMO</t>
  </si>
  <si>
    <t>INSUMO</t>
  </si>
  <si>
    <t>PREÇO UNITÁRIO</t>
  </si>
  <si>
    <t>CUSTO TOTAL</t>
  </si>
  <si>
    <t>SINAPI</t>
  </si>
  <si>
    <t>00004750</t>
  </si>
  <si>
    <t>PEDREIRO COM ENCARGOS COMPLEMENTARES</t>
  </si>
  <si>
    <t>H</t>
  </si>
  <si>
    <t>SERVENTE COM ENCARGOS COMPLEMENTARES</t>
  </si>
  <si>
    <t>SINAPI-I</t>
  </si>
  <si>
    <t>DOBRADICA EM ACO/FERRO, 3 1/2" X  3", E= 1,9  A 2 MM, COM ANEL,  CROMADO OU ZINCADO, TAMPA BOLA, COM PARAFUSOS</t>
  </si>
  <si>
    <t>UN</t>
  </si>
  <si>
    <t>VIDRO CRISTAL COLORIDO, 10 MM, PINTADO NA COR BRANCA</t>
  </si>
  <si>
    <t>M2</t>
  </si>
  <si>
    <t>CPU-02</t>
  </si>
  <si>
    <t>COLOCAÇÃO DE CHAPA DE ALUMINIO EM PORTA DE MADEIRA PARA PROTEÇÃO DE CADEIRAS</t>
  </si>
  <si>
    <t>12868</t>
  </si>
  <si>
    <t>MARCENEIRO COM ENCARGOS COMPLEMENTARES</t>
  </si>
  <si>
    <t>248</t>
  </si>
  <si>
    <t>AJUDANTE COM ENCARGOS COMPLEMENTARES</t>
  </si>
  <si>
    <t>12759</t>
  </si>
  <si>
    <t>CHAPA ACO INOX AISI 304 NUMERO 9 (E = 4 MM),</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</si>
</sst>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 #,##0.00_-;\-* #,##0.00_-;_-* \-??_-;_-@_-"/>
    <numFmt numFmtId="165" formatCode="_-* #,##0.000_-;\-* #,##0.000_-;_-* \-??_-;_-@_-"/>
    <numFmt numFmtId="166" formatCode="0.000"/>
    <numFmt numFmtId="167" formatCode="_-&quot;R$&quot;* #,##0.00_-;&quot;-R$&quot;* #,##0.00_-;_-&quot;R$&quot;* \-??_-;_-@_-"/>
    <numFmt numFmtId="168" formatCode="General_)"/>
    <numFmt numFmtId="169" formatCode="&quot;R$ &quot;#,##0.00"/>
    <numFmt numFmtId="170" formatCode="0.000000"/>
    <numFmt numFmtId="171" formatCode="&quot;R$&quot;\ #,##0.00"/>
  </numFmts>
  <fonts count="22" x14ac:knownFonts="1">
    <font>
      <sz val="11"/>
      <color rgb="FF000000"/>
      <name val="Calibri"/>
      <family val="2"/>
      <charset val="1"/>
    </font>
    <font>
      <sz val="10"/>
      <name val="Arial"/>
      <family val="2"/>
      <charset val="1"/>
    </font>
    <font>
      <b/>
      <sz val="10"/>
      <name val="Arial"/>
      <family val="2"/>
      <charset val="1"/>
    </font>
    <font>
      <sz val="10"/>
      <color rgb="FFFF0000"/>
      <name val="Arial"/>
      <family val="2"/>
      <charset val="1"/>
    </font>
    <font>
      <sz val="11"/>
      <color rgb="FFFF0000"/>
      <name val="Calibri"/>
      <family val="2"/>
      <charset val="1"/>
    </font>
    <font>
      <b/>
      <sz val="11"/>
      <color rgb="FF000000"/>
      <name val="Calibri"/>
      <family val="2"/>
      <charset val="1"/>
    </font>
    <font>
      <b/>
      <sz val="8"/>
      <name val="Arial"/>
      <family val="2"/>
      <charset val="1"/>
    </font>
    <font>
      <sz val="8"/>
      <name val="Arial"/>
      <family val="2"/>
      <charset val="1"/>
    </font>
    <font>
      <b/>
      <sz val="8"/>
      <color rgb="FF0000FF"/>
      <name val="Arial"/>
      <family val="2"/>
      <charset val="1"/>
    </font>
    <font>
      <b/>
      <sz val="9"/>
      <name val="Arial"/>
      <family val="2"/>
      <charset val="1"/>
    </font>
    <font>
      <sz val="11"/>
      <name val="Arial"/>
      <family val="2"/>
      <charset val="1"/>
    </font>
    <font>
      <sz val="9"/>
      <color rgb="FF44546A"/>
      <name val="Arial"/>
      <family val="2"/>
      <charset val="1"/>
    </font>
    <font>
      <sz val="8"/>
      <color rgb="FFFF0000"/>
      <name val="Arial"/>
      <family val="2"/>
      <charset val="1"/>
    </font>
    <font>
      <sz val="7"/>
      <name val="Arial"/>
      <family val="2"/>
      <charset val="1"/>
    </font>
    <font>
      <b/>
      <sz val="7"/>
      <name val="Arial"/>
      <family val="2"/>
      <charset val="1"/>
    </font>
    <font>
      <sz val="9"/>
      <name val="Arial"/>
      <family val="2"/>
      <charset val="1"/>
    </font>
    <font>
      <b/>
      <sz val="11"/>
      <name val="Arial"/>
      <family val="2"/>
      <charset val="1"/>
    </font>
    <font>
      <b/>
      <sz val="10"/>
      <color rgb="FF000000"/>
      <name val="Arial"/>
      <family val="2"/>
      <charset val="1"/>
    </font>
    <font>
      <b/>
      <sz val="8"/>
      <color rgb="FF000000"/>
      <name val="Calibri"/>
      <family val="2"/>
      <charset val="1"/>
    </font>
    <font>
      <sz val="8"/>
      <color rgb="FF000000"/>
      <name val="Calibri"/>
      <family val="2"/>
      <charset val="1"/>
    </font>
    <font>
      <sz val="8"/>
      <name val="Calibri"/>
      <family val="2"/>
      <charset val="1"/>
    </font>
    <font>
      <sz val="11"/>
      <color rgb="FF000000"/>
      <name val="Calibri"/>
      <family val="2"/>
      <charset val="1"/>
    </font>
  </fonts>
  <fills count="9">
    <fill>
      <patternFill patternType="none"/>
    </fill>
    <fill>
      <patternFill patternType="gray125"/>
    </fill>
    <fill>
      <patternFill patternType="solid">
        <fgColor rgb="FFD9D9D9"/>
        <bgColor rgb="FFC9C9C9"/>
      </patternFill>
    </fill>
    <fill>
      <patternFill patternType="solid">
        <fgColor rgb="FFFFFFFF"/>
        <bgColor rgb="FFEDEDED"/>
      </patternFill>
    </fill>
    <fill>
      <patternFill patternType="solid">
        <fgColor rgb="FFBFBFBF"/>
        <bgColor rgb="FFC0C0C0"/>
      </patternFill>
    </fill>
    <fill>
      <patternFill patternType="solid">
        <fgColor rgb="FFFFFF00"/>
        <bgColor rgb="FFFFFF00"/>
      </patternFill>
    </fill>
    <fill>
      <patternFill patternType="solid">
        <fgColor rgb="FFC0C0C0"/>
        <bgColor rgb="FFBFBFBF"/>
      </patternFill>
    </fill>
    <fill>
      <patternFill patternType="solid">
        <fgColor rgb="FFC9C9C9"/>
        <bgColor rgb="FFC0C0C0"/>
      </patternFill>
    </fill>
    <fill>
      <patternFill patternType="solid">
        <fgColor rgb="FFEDEDED"/>
        <bgColor rgb="FFFFFFFF"/>
      </patternFill>
    </fill>
  </fills>
  <borders count="2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double">
        <color auto="1"/>
      </bottom>
      <diagonal/>
    </border>
    <border>
      <left/>
      <right/>
      <top/>
      <bottom style="double">
        <color auto="1"/>
      </bottom>
      <diagonal/>
    </border>
    <border>
      <left/>
      <right style="thin">
        <color auto="1"/>
      </right>
      <top/>
      <bottom style="double">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s>
  <cellStyleXfs count="3">
    <xf numFmtId="0" fontId="0" fillId="0" borderId="0"/>
    <xf numFmtId="164" fontId="21" fillId="0" borderId="0"/>
    <xf numFmtId="164" fontId="21" fillId="0" borderId="0"/>
  </cellStyleXfs>
  <cellXfs count="265">
    <xf numFmtId="0" fontId="0" fillId="0" borderId="0" xfId="0"/>
    <xf numFmtId="0" fontId="2" fillId="0" borderId="2" xfId="0" applyFont="1" applyBorder="1" applyAlignment="1">
      <alignment horizontal="center"/>
    </xf>
    <xf numFmtId="0" fontId="0" fillId="0" borderId="2" xfId="0" applyFont="1" applyBorder="1" applyAlignment="1">
      <alignment horizontal="center"/>
    </xf>
    <xf numFmtId="0" fontId="1" fillId="0" borderId="2" xfId="0" applyFont="1" applyBorder="1" applyAlignment="1">
      <alignment horizontal="left"/>
    </xf>
    <xf numFmtId="0" fontId="1" fillId="0" borderId="2" xfId="0" applyFont="1" applyBorder="1" applyAlignment="1">
      <alignment horizontal="center"/>
    </xf>
    <xf numFmtId="2" fontId="1" fillId="0" borderId="2" xfId="0" applyNumberFormat="1" applyFont="1" applyBorder="1" applyAlignment="1">
      <alignment horizontal="center"/>
    </xf>
    <xf numFmtId="2" fontId="2" fillId="0" borderId="2" xfId="0" applyNumberFormat="1" applyFont="1" applyBorder="1" applyAlignment="1">
      <alignment horizontal="center"/>
    </xf>
    <xf numFmtId="0" fontId="2" fillId="2" borderId="0" xfId="0" applyFont="1" applyFill="1" applyAlignment="1">
      <alignment horizontal="center"/>
    </xf>
    <xf numFmtId="0" fontId="0" fillId="0" borderId="3" xfId="0" applyFont="1" applyBorder="1" applyAlignment="1"/>
    <xf numFmtId="0" fontId="0" fillId="0" borderId="2" xfId="0" applyFont="1" applyBorder="1" applyAlignment="1"/>
    <xf numFmtId="2" fontId="1" fillId="3" borderId="2" xfId="0" applyNumberFormat="1" applyFont="1" applyFill="1" applyBorder="1" applyAlignment="1">
      <alignment horizontal="center"/>
    </xf>
    <xf numFmtId="0" fontId="0" fillId="2" borderId="1" xfId="0" applyFill="1" applyBorder="1" applyAlignment="1">
      <alignment horizontal="center"/>
    </xf>
    <xf numFmtId="0" fontId="0" fillId="0" borderId="2" xfId="0" applyBorder="1"/>
    <xf numFmtId="2" fontId="0" fillId="0" borderId="2" xfId="0" applyNumberFormat="1" applyBorder="1"/>
    <xf numFmtId="0" fontId="2" fillId="0" borderId="2" xfId="0" applyFont="1" applyBorder="1"/>
    <xf numFmtId="0" fontId="1" fillId="0" borderId="0" xfId="0" applyFont="1"/>
    <xf numFmtId="0" fontId="1" fillId="0" borderId="2" xfId="0" applyFont="1" applyBorder="1"/>
    <xf numFmtId="0" fontId="0" fillId="2" borderId="0" xfId="0" applyFill="1"/>
    <xf numFmtId="2" fontId="0" fillId="3" borderId="2" xfId="0" applyNumberFormat="1" applyFill="1" applyBorder="1"/>
    <xf numFmtId="0" fontId="0" fillId="0" borderId="2" xfId="0" applyBorder="1" applyAlignment="1">
      <alignment horizontal="right"/>
    </xf>
    <xf numFmtId="2" fontId="2" fillId="0" borderId="2" xfId="0" applyNumberFormat="1" applyFont="1" applyBorder="1"/>
    <xf numFmtId="2" fontId="0" fillId="0" borderId="2" xfId="0" applyNumberFormat="1" applyBorder="1" applyAlignment="1">
      <alignment horizontal="right"/>
    </xf>
    <xf numFmtId="164" fontId="0" fillId="0" borderId="2" xfId="1" applyFont="1" applyBorder="1" applyAlignment="1" applyProtection="1">
      <alignment horizontal="right"/>
    </xf>
    <xf numFmtId="165" fontId="0" fillId="0" borderId="2" xfId="1" applyNumberFormat="1" applyFont="1" applyBorder="1" applyAlignment="1" applyProtection="1">
      <alignment horizontal="right"/>
    </xf>
    <xf numFmtId="164" fontId="2" fillId="0" borderId="2" xfId="1" applyFont="1" applyBorder="1" applyAlignment="1" applyProtection="1"/>
    <xf numFmtId="0" fontId="0" fillId="0" borderId="2" xfId="0" applyFont="1" applyBorder="1" applyAlignment="1">
      <alignment horizontal="center" vertical="center"/>
    </xf>
    <xf numFmtId="0" fontId="1" fillId="0" borderId="2" xfId="0" applyFont="1" applyBorder="1" applyAlignment="1">
      <alignment horizontal="center" vertical="center"/>
    </xf>
    <xf numFmtId="0" fontId="2" fillId="4" borderId="3" xfId="0" applyFont="1" applyFill="1" applyBorder="1" applyAlignment="1">
      <alignment horizontal="center"/>
    </xf>
    <xf numFmtId="0" fontId="2" fillId="4" borderId="5" xfId="0" applyFont="1" applyFill="1" applyBorder="1" applyAlignment="1">
      <alignment horizontal="center"/>
    </xf>
    <xf numFmtId="0" fontId="2" fillId="4" borderId="4" xfId="0" applyFont="1" applyFill="1" applyBorder="1"/>
    <xf numFmtId="0" fontId="1" fillId="0" borderId="3" xfId="0" applyFont="1" applyBorder="1"/>
    <xf numFmtId="0" fontId="2" fillId="4" borderId="0" xfId="0" applyFont="1" applyFill="1" applyAlignment="1">
      <alignment horizontal="center"/>
    </xf>
    <xf numFmtId="0" fontId="2" fillId="4" borderId="0" xfId="0" applyFont="1" applyFill="1"/>
    <xf numFmtId="0" fontId="2" fillId="2" borderId="5" xfId="0" applyFont="1" applyFill="1" applyBorder="1" applyAlignment="1">
      <alignment horizontal="center"/>
    </xf>
    <xf numFmtId="0" fontId="1" fillId="3" borderId="2" xfId="0" applyFont="1" applyFill="1" applyBorder="1"/>
    <xf numFmtId="0" fontId="0" fillId="3" borderId="2" xfId="0" applyFill="1" applyBorder="1"/>
    <xf numFmtId="0" fontId="3" fillId="0" borderId="2" xfId="0" applyFont="1" applyBorder="1"/>
    <xf numFmtId="0" fontId="4" fillId="0" borderId="2" xfId="0" applyFont="1" applyBorder="1"/>
    <xf numFmtId="2" fontId="4" fillId="0" borderId="2" xfId="0" applyNumberFormat="1" applyFont="1" applyBorder="1"/>
    <xf numFmtId="2" fontId="0" fillId="0" borderId="2" xfId="0" applyNumberFormat="1" applyBorder="1" applyAlignment="1">
      <alignment horizontal="center"/>
    </xf>
    <xf numFmtId="0" fontId="2" fillId="2" borderId="0" xfId="0" applyFont="1" applyFill="1"/>
    <xf numFmtId="166" fontId="0" fillId="0" borderId="2" xfId="0" applyNumberFormat="1" applyBorder="1"/>
    <xf numFmtId="166" fontId="2" fillId="0" borderId="2" xfId="0" applyNumberFormat="1" applyFont="1" applyBorder="1"/>
    <xf numFmtId="0" fontId="0" fillId="0" borderId="2" xfId="0" applyFont="1" applyBorder="1" applyAlignment="1">
      <alignment horizontal="left"/>
    </xf>
    <xf numFmtId="0" fontId="4" fillId="0" borderId="2" xfId="0" applyFont="1" applyBorder="1" applyAlignment="1">
      <alignment horizontal="left"/>
    </xf>
    <xf numFmtId="0" fontId="4" fillId="0" borderId="2" xfId="0" applyFont="1" applyBorder="1" applyAlignment="1">
      <alignment horizontal="center"/>
    </xf>
    <xf numFmtId="2" fontId="4" fillId="0" borderId="2" xfId="0" applyNumberFormat="1" applyFont="1" applyBorder="1" applyAlignment="1">
      <alignment horizontal="center"/>
    </xf>
    <xf numFmtId="0" fontId="0" fillId="5" borderId="2" xfId="0" applyFont="1" applyFill="1" applyBorder="1" applyAlignment="1">
      <alignment horizontal="center"/>
    </xf>
    <xf numFmtId="0" fontId="1" fillId="5" borderId="2" xfId="0" applyFont="1" applyFill="1" applyBorder="1"/>
    <xf numFmtId="0" fontId="0" fillId="5" borderId="2" xfId="0" applyFill="1" applyBorder="1"/>
    <xf numFmtId="2" fontId="0" fillId="5" borderId="2" xfId="0" applyNumberFormat="1" applyFill="1" applyBorder="1"/>
    <xf numFmtId="2" fontId="2" fillId="5" borderId="2" xfId="0" applyNumberFormat="1" applyFont="1" applyFill="1" applyBorder="1"/>
    <xf numFmtId="2" fontId="2" fillId="0" borderId="4" xfId="0" applyNumberFormat="1" applyFont="1" applyBorder="1"/>
    <xf numFmtId="0" fontId="5" fillId="0" borderId="2" xfId="0" applyFont="1" applyBorder="1" applyAlignment="1">
      <alignment horizontal="center"/>
    </xf>
    <xf numFmtId="0" fontId="0" fillId="3" borderId="2" xfId="0" applyFont="1" applyFill="1" applyBorder="1" applyAlignment="1">
      <alignment horizontal="center"/>
    </xf>
    <xf numFmtId="2" fontId="0" fillId="3" borderId="2" xfId="0" applyNumberFormat="1" applyFill="1" applyBorder="1" applyAlignment="1">
      <alignment horizontal="center"/>
    </xf>
    <xf numFmtId="2" fontId="0" fillId="3" borderId="2" xfId="0" applyNumberFormat="1" applyFill="1" applyBorder="1" applyAlignment="1">
      <alignment horizontal="right"/>
    </xf>
    <xf numFmtId="2" fontId="0" fillId="0" borderId="0" xfId="0" applyNumberFormat="1"/>
    <xf numFmtId="0" fontId="6" fillId="3" borderId="6" xfId="0" applyFont="1" applyFill="1" applyBorder="1"/>
    <xf numFmtId="0" fontId="6" fillId="3" borderId="7" xfId="0" applyFont="1" applyFill="1" applyBorder="1"/>
    <xf numFmtId="0" fontId="7" fillId="3" borderId="7" xfId="0" applyFont="1" applyFill="1" applyBorder="1"/>
    <xf numFmtId="0" fontId="7" fillId="3" borderId="8" xfId="0" applyFont="1" applyFill="1" applyBorder="1"/>
    <xf numFmtId="0" fontId="6" fillId="3" borderId="9" xfId="0" applyFont="1" applyFill="1" applyBorder="1"/>
    <xf numFmtId="0" fontId="6" fillId="3" borderId="0" xfId="0" applyFont="1" applyFill="1"/>
    <xf numFmtId="0" fontId="7" fillId="3" borderId="0" xfId="0" applyFont="1" applyFill="1"/>
    <xf numFmtId="0" fontId="7" fillId="3" borderId="10" xfId="0" applyFont="1" applyFill="1" applyBorder="1"/>
    <xf numFmtId="4" fontId="6" fillId="3" borderId="0" xfId="2" applyNumberFormat="1" applyFont="1" applyFill="1" applyAlignment="1">
      <alignment horizontal="justify" vertical="top" wrapText="1"/>
    </xf>
    <xf numFmtId="4" fontId="6" fillId="3" borderId="0" xfId="2" applyNumberFormat="1" applyFont="1" applyFill="1" applyAlignment="1">
      <alignment horizontal="left" vertical="top"/>
    </xf>
    <xf numFmtId="4" fontId="6" fillId="3" borderId="10" xfId="2" applyNumberFormat="1" applyFont="1" applyFill="1" applyBorder="1" applyAlignment="1">
      <alignment horizontal="justify" vertical="top" wrapText="1"/>
    </xf>
    <xf numFmtId="0" fontId="7" fillId="3" borderId="11" xfId="0" applyFont="1" applyFill="1" applyBorder="1"/>
    <xf numFmtId="0" fontId="7" fillId="3" borderId="12" xfId="0" applyFont="1" applyFill="1" applyBorder="1"/>
    <xf numFmtId="0" fontId="6" fillId="3" borderId="12" xfId="0" applyFont="1" applyFill="1" applyBorder="1" applyAlignment="1">
      <alignment horizontal="center"/>
    </xf>
    <xf numFmtId="0" fontId="6" fillId="3" borderId="12" xfId="0" applyFont="1" applyFill="1" applyBorder="1"/>
    <xf numFmtId="0" fontId="6" fillId="3" borderId="13" xfId="0" applyFont="1" applyFill="1" applyBorder="1"/>
    <xf numFmtId="0" fontId="6" fillId="3" borderId="14"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7" fillId="0" borderId="6" xfId="0" applyFont="1" applyBorder="1" applyAlignment="1">
      <alignment horizontal="center" vertical="top" wrapText="1"/>
    </xf>
    <xf numFmtId="0" fontId="9" fillId="0" borderId="16" xfId="0" applyFont="1" applyBorder="1" applyAlignment="1">
      <alignment horizontal="center" vertical="top" wrapText="1"/>
    </xf>
    <xf numFmtId="0" fontId="9" fillId="0" borderId="7" xfId="0" applyFont="1" applyBorder="1" applyAlignment="1">
      <alignment vertical="top" wrapText="1"/>
    </xf>
    <xf numFmtId="4" fontId="6" fillId="0" borderId="16" xfId="0" applyNumberFormat="1" applyFont="1" applyBorder="1" applyAlignment="1">
      <alignment horizontal="center" vertical="top" wrapText="1"/>
    </xf>
    <xf numFmtId="49" fontId="7" fillId="0" borderId="9" xfId="0" applyNumberFormat="1" applyFont="1" applyBorder="1" applyAlignment="1">
      <alignment horizontal="center" vertical="top" wrapText="1"/>
    </xf>
    <xf numFmtId="0" fontId="7" fillId="0" borderId="15" xfId="0" applyFont="1" applyBorder="1" applyAlignment="1">
      <alignment horizontal="center" vertical="top" wrapText="1"/>
    </xf>
    <xf numFmtId="0" fontId="1" fillId="0" borderId="0" xfId="0" applyFont="1" applyAlignment="1">
      <alignment vertical="top" wrapText="1"/>
    </xf>
    <xf numFmtId="0" fontId="7" fillId="0" borderId="15" xfId="0" applyFont="1" applyBorder="1" applyAlignment="1">
      <alignment horizontal="center" vertical="top"/>
    </xf>
    <xf numFmtId="0" fontId="10" fillId="0" borderId="0" xfId="0" applyFont="1" applyAlignment="1">
      <alignment vertical="top" wrapText="1"/>
    </xf>
    <xf numFmtId="49" fontId="7" fillId="0" borderId="15" xfId="0" applyNumberFormat="1" applyFont="1" applyBorder="1" applyAlignment="1">
      <alignment horizontal="center" vertical="top" wrapText="1"/>
    </xf>
    <xf numFmtId="168" fontId="11" fillId="0" borderId="15" xfId="0" applyNumberFormat="1" applyFont="1" applyBorder="1" applyAlignment="1">
      <alignment vertical="top"/>
    </xf>
    <xf numFmtId="49" fontId="7" fillId="0" borderId="14" xfId="0" applyNumberFormat="1" applyFont="1" applyBorder="1" applyAlignment="1">
      <alignment horizontal="center" vertical="top" wrapText="1"/>
    </xf>
    <xf numFmtId="0" fontId="7" fillId="0" borderId="14" xfId="0" applyFont="1" applyBorder="1" applyAlignment="1">
      <alignment horizontal="center" vertical="top" wrapText="1"/>
    </xf>
    <xf numFmtId="0" fontId="1" fillId="0" borderId="1" xfId="0" applyFont="1" applyBorder="1" applyAlignment="1">
      <alignment vertical="top" wrapText="1"/>
    </xf>
    <xf numFmtId="0" fontId="7" fillId="0" borderId="14" xfId="0" applyFont="1" applyBorder="1" applyAlignment="1">
      <alignment horizontal="center" vertical="top"/>
    </xf>
    <xf numFmtId="0" fontId="9" fillId="0" borderId="15" xfId="0" applyFont="1" applyBorder="1" applyAlignment="1">
      <alignment horizontal="center" vertical="top" wrapText="1"/>
    </xf>
    <xf numFmtId="0" fontId="9" fillId="0" borderId="0" xfId="0" applyFont="1" applyAlignment="1">
      <alignment vertical="top" wrapText="1"/>
    </xf>
    <xf numFmtId="0" fontId="13" fillId="0" borderId="0" xfId="0" applyFont="1" applyAlignment="1">
      <alignment vertical="top" wrapText="1"/>
    </xf>
    <xf numFmtId="0" fontId="7" fillId="0" borderId="9" xfId="0" applyFont="1" applyBorder="1" applyAlignment="1">
      <alignment horizontal="center" vertical="top"/>
    </xf>
    <xf numFmtId="0" fontId="7" fillId="0" borderId="9" xfId="0" applyFont="1" applyBorder="1" applyAlignment="1">
      <alignment horizontal="center" vertical="top" wrapText="1"/>
    </xf>
    <xf numFmtId="0" fontId="1" fillId="0" borderId="9" xfId="0" applyFont="1" applyBorder="1" applyAlignment="1">
      <alignment vertical="center" wrapText="1"/>
    </xf>
    <xf numFmtId="49" fontId="7" fillId="0" borderId="0" xfId="0" applyNumberFormat="1" applyFont="1" applyBorder="1" applyAlignment="1">
      <alignment horizontal="center" vertical="top" wrapText="1"/>
    </xf>
    <xf numFmtId="0" fontId="13" fillId="0" borderId="0" xfId="0" applyFont="1" applyBorder="1" applyAlignment="1">
      <alignment vertical="top" wrapText="1"/>
    </xf>
    <xf numFmtId="0" fontId="1" fillId="0" borderId="0" xfId="0" applyFont="1" applyBorder="1" applyAlignment="1">
      <alignment vertical="top" wrapText="1"/>
    </xf>
    <xf numFmtId="49" fontId="6" fillId="0" borderId="14" xfId="0" applyNumberFormat="1" applyFont="1" applyBorder="1" applyAlignment="1">
      <alignment horizontal="center" vertical="top" wrapText="1"/>
    </xf>
    <xf numFmtId="0" fontId="6" fillId="0" borderId="14" xfId="0" applyFont="1" applyBorder="1" applyAlignment="1">
      <alignment horizontal="center" vertical="top" wrapText="1"/>
    </xf>
    <xf numFmtId="0" fontId="14" fillId="0" borderId="1" xfId="0" applyFont="1" applyBorder="1" applyAlignment="1">
      <alignment vertical="top" wrapText="1"/>
    </xf>
    <xf numFmtId="0" fontId="7" fillId="0" borderId="18" xfId="0" applyFont="1" applyBorder="1" applyAlignment="1">
      <alignment horizontal="center" vertical="top"/>
    </xf>
    <xf numFmtId="0" fontId="1" fillId="0" borderId="15" xfId="0" applyFont="1" applyBorder="1" applyAlignment="1">
      <alignment vertical="center" wrapText="1"/>
    </xf>
    <xf numFmtId="0" fontId="13" fillId="0" borderId="0" xfId="0" applyFont="1" applyBorder="1" applyAlignment="1">
      <alignment vertical="center" wrapText="1"/>
    </xf>
    <xf numFmtId="49" fontId="7" fillId="0" borderId="18" xfId="0" applyNumberFormat="1" applyFont="1" applyBorder="1" applyAlignment="1">
      <alignment horizontal="center" vertical="top" wrapText="1"/>
    </xf>
    <xf numFmtId="0" fontId="1" fillId="0" borderId="1" xfId="0" applyFont="1" applyBorder="1" applyAlignment="1">
      <alignment vertical="center" wrapText="1"/>
    </xf>
    <xf numFmtId="49" fontId="7" fillId="0" borderId="9" xfId="0" applyNumberFormat="1" applyFont="1" applyBorder="1" applyAlignment="1">
      <alignment horizontal="center" vertical="center" wrapText="1"/>
    </xf>
    <xf numFmtId="0" fontId="7" fillId="0" borderId="15" xfId="0" applyFont="1" applyBorder="1" applyAlignment="1">
      <alignment horizontal="center" vertical="center" wrapText="1"/>
    </xf>
    <xf numFmtId="0" fontId="1" fillId="0" borderId="0" xfId="0" applyFont="1" applyAlignment="1">
      <alignment vertical="center" wrapText="1"/>
    </xf>
    <xf numFmtId="0" fontId="13" fillId="0" borderId="0" xfId="0" applyFont="1" applyAlignment="1">
      <alignment vertical="center" wrapText="1"/>
    </xf>
    <xf numFmtId="0" fontId="7" fillId="3" borderId="15" xfId="0" applyFont="1" applyFill="1" applyBorder="1" applyAlignment="1">
      <alignment horizontal="center" vertical="center" wrapText="1"/>
    </xf>
    <xf numFmtId="0" fontId="1" fillId="0" borderId="15" xfId="0" applyFont="1" applyBorder="1" applyAlignment="1">
      <alignment vertical="top" wrapText="1"/>
    </xf>
    <xf numFmtId="49" fontId="7" fillId="3" borderId="9" xfId="0" applyNumberFormat="1" applyFont="1" applyFill="1" applyBorder="1" applyAlignment="1">
      <alignment horizontal="center" vertical="center" wrapText="1"/>
    </xf>
    <xf numFmtId="0" fontId="1" fillId="3" borderId="0" xfId="0" applyFont="1" applyFill="1" applyBorder="1" applyAlignment="1">
      <alignment vertical="top" wrapText="1"/>
    </xf>
    <xf numFmtId="49" fontId="7" fillId="0" borderId="6" xfId="0" applyNumberFormat="1" applyFont="1" applyBorder="1" applyAlignment="1">
      <alignment horizontal="center" vertical="top" wrapText="1"/>
    </xf>
    <xf numFmtId="0" fontId="6" fillId="0" borderId="16" xfId="0" applyFont="1" applyBorder="1" applyAlignment="1">
      <alignment horizontal="center" vertical="top"/>
    </xf>
    <xf numFmtId="0" fontId="13" fillId="0" borderId="1" xfId="0" applyFont="1" applyBorder="1" applyAlignment="1">
      <alignment vertical="top" wrapText="1"/>
    </xf>
    <xf numFmtId="0" fontId="6" fillId="0" borderId="15" xfId="0" applyFont="1" applyBorder="1" applyAlignment="1">
      <alignment horizontal="center" vertical="top"/>
    </xf>
    <xf numFmtId="0" fontId="7" fillId="0" borderId="0" xfId="0" applyFont="1" applyBorder="1" applyAlignment="1">
      <alignment horizontal="center" vertical="top" wrapText="1"/>
    </xf>
    <xf numFmtId="0" fontId="15" fillId="0" borderId="0" xfId="0" applyFont="1" applyBorder="1" applyAlignment="1">
      <alignment vertical="top" wrapText="1"/>
    </xf>
    <xf numFmtId="0" fontId="0" fillId="0" borderId="9" xfId="0" applyBorder="1"/>
    <xf numFmtId="0" fontId="0" fillId="0" borderId="0" xfId="0" applyBorder="1"/>
    <xf numFmtId="0" fontId="7" fillId="0" borderId="18" xfId="0" applyFont="1" applyBorder="1" applyAlignment="1">
      <alignment horizontal="center" vertical="top" wrapText="1"/>
    </xf>
    <xf numFmtId="167" fontId="0" fillId="0" borderId="0" xfId="0" applyNumberFormat="1"/>
    <xf numFmtId="0" fontId="7" fillId="0" borderId="16" xfId="0" applyFont="1" applyBorder="1" applyAlignment="1">
      <alignment horizontal="center" vertical="top" wrapText="1"/>
    </xf>
    <xf numFmtId="0" fontId="7" fillId="0" borderId="16" xfId="0" applyFont="1" applyBorder="1" applyAlignment="1">
      <alignment horizontal="center" vertical="top"/>
    </xf>
    <xf numFmtId="0" fontId="6" fillId="0" borderId="15" xfId="0" applyFont="1" applyBorder="1" applyAlignment="1">
      <alignment horizontal="center" vertical="top" wrapText="1"/>
    </xf>
    <xf numFmtId="0" fontId="14" fillId="0" borderId="0" xfId="0" applyFont="1" applyAlignment="1">
      <alignment vertical="top" wrapText="1"/>
    </xf>
    <xf numFmtId="0" fontId="7" fillId="0" borderId="10" xfId="0" applyFont="1" applyBorder="1" applyAlignment="1">
      <alignment horizontal="center" vertical="top"/>
    </xf>
    <xf numFmtId="0" fontId="13" fillId="0" borderId="15" xfId="0" applyFont="1" applyBorder="1" applyAlignment="1">
      <alignment vertical="center" wrapText="1"/>
    </xf>
    <xf numFmtId="0" fontId="1" fillId="0" borderId="9" xfId="0" applyFont="1" applyBorder="1" applyAlignment="1">
      <alignment vertical="top" wrapText="1"/>
    </xf>
    <xf numFmtId="0" fontId="0" fillId="0" borderId="0" xfId="0"/>
    <xf numFmtId="0" fontId="13" fillId="0" borderId="15" xfId="0" applyFont="1" applyBorder="1" applyAlignment="1">
      <alignment vertical="top" wrapText="1"/>
    </xf>
    <xf numFmtId="49" fontId="7" fillId="3" borderId="9" xfId="0" applyNumberFormat="1" applyFont="1" applyFill="1" applyBorder="1" applyAlignment="1">
      <alignment horizontal="center" vertical="top" wrapText="1"/>
    </xf>
    <xf numFmtId="0" fontId="7" fillId="3" borderId="15" xfId="0" applyFont="1" applyFill="1" applyBorder="1" applyAlignment="1">
      <alignment horizontal="center" vertical="top" wrapText="1"/>
    </xf>
    <xf numFmtId="0" fontId="1" fillId="3" borderId="0" xfId="0" applyFont="1" applyFill="1" applyAlignment="1">
      <alignment vertical="top" wrapText="1"/>
    </xf>
    <xf numFmtId="0" fontId="7" fillId="3" borderId="15" xfId="0" applyFont="1" applyFill="1" applyBorder="1" applyAlignment="1">
      <alignment horizontal="center" vertical="top"/>
    </xf>
    <xf numFmtId="0" fontId="10" fillId="6" borderId="3" xfId="0" applyFont="1" applyFill="1" applyBorder="1" applyAlignment="1">
      <alignment horizontal="center" vertical="top" wrapText="1"/>
    </xf>
    <xf numFmtId="0" fontId="10" fillId="6" borderId="2" xfId="0" applyFont="1" applyFill="1" applyBorder="1" applyAlignment="1">
      <alignment horizontal="center" vertical="top" wrapText="1"/>
    </xf>
    <xf numFmtId="0" fontId="16" fillId="6" borderId="5" xfId="0" applyFont="1" applyFill="1" applyBorder="1" applyAlignment="1">
      <alignment horizontal="center" vertical="top" wrapText="1"/>
    </xf>
    <xf numFmtId="0" fontId="2" fillId="3" borderId="16" xfId="0" applyFont="1" applyFill="1" applyBorder="1" applyAlignment="1">
      <alignment horizontal="justify" vertical="top"/>
    </xf>
    <xf numFmtId="0" fontId="0" fillId="3" borderId="15" xfId="0" applyFont="1" applyFill="1" applyBorder="1" applyAlignment="1">
      <alignment horizontal="justify" vertical="top"/>
    </xf>
    <xf numFmtId="0" fontId="0" fillId="3" borderId="14" xfId="0" applyFont="1" applyFill="1" applyBorder="1" applyAlignment="1">
      <alignment horizontal="justify" vertical="top"/>
    </xf>
    <xf numFmtId="0" fontId="2" fillId="3" borderId="6" xfId="0" applyFont="1" applyFill="1" applyBorder="1"/>
    <xf numFmtId="0" fontId="2" fillId="3" borderId="7" xfId="0" applyFont="1" applyFill="1" applyBorder="1"/>
    <xf numFmtId="0" fontId="0" fillId="3" borderId="7" xfId="0" applyFill="1" applyBorder="1"/>
    <xf numFmtId="0" fontId="0" fillId="3" borderId="8" xfId="0" applyFill="1" applyBorder="1"/>
    <xf numFmtId="0" fontId="2" fillId="3" borderId="9" xfId="0" applyFont="1" applyFill="1" applyBorder="1"/>
    <xf numFmtId="0" fontId="2" fillId="3" borderId="0" xfId="0" applyFont="1" applyFill="1"/>
    <xf numFmtId="0" fontId="0" fillId="3" borderId="0" xfId="0" applyFill="1"/>
    <xf numFmtId="0" fontId="0" fillId="3" borderId="10" xfId="0" applyFill="1" applyBorder="1"/>
    <xf numFmtId="4" fontId="2" fillId="3" borderId="0" xfId="2" applyNumberFormat="1" applyFont="1" applyFill="1" applyAlignment="1">
      <alignment horizontal="center" vertical="top" wrapText="1"/>
    </xf>
    <xf numFmtId="4" fontId="2" fillId="3" borderId="10" xfId="2" applyNumberFormat="1" applyFont="1" applyFill="1" applyBorder="1" applyAlignment="1">
      <alignment horizontal="left" vertical="top"/>
    </xf>
    <xf numFmtId="0" fontId="2" fillId="3" borderId="0" xfId="0" applyFont="1" applyFill="1" applyAlignment="1">
      <alignment horizontal="left" vertical="top" wrapText="1"/>
    </xf>
    <xf numFmtId="4" fontId="2" fillId="3" borderId="0" xfId="2" applyNumberFormat="1" applyFont="1" applyFill="1" applyAlignment="1">
      <alignment horizontal="left" vertical="top"/>
    </xf>
    <xf numFmtId="0" fontId="2" fillId="3" borderId="18" xfId="0" applyFont="1" applyFill="1" applyBorder="1" applyAlignment="1">
      <alignment horizontal="left" vertical="top" wrapText="1"/>
    </xf>
    <xf numFmtId="0" fontId="2" fillId="3" borderId="1" xfId="0" applyFont="1" applyFill="1" applyBorder="1" applyAlignment="1">
      <alignment horizontal="left" vertical="top" wrapText="1"/>
    </xf>
    <xf numFmtId="0" fontId="2" fillId="3" borderId="1" xfId="0" applyFont="1" applyFill="1" applyBorder="1"/>
    <xf numFmtId="0" fontId="0" fillId="3" borderId="1" xfId="0" applyFill="1" applyBorder="1"/>
    <xf numFmtId="0" fontId="0" fillId="3" borderId="17" xfId="0" applyFill="1" applyBorder="1"/>
    <xf numFmtId="49" fontId="2" fillId="0" borderId="2" xfId="0" applyNumberFormat="1" applyFont="1"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Border="1" applyAlignment="1">
      <alignment vertical="top" wrapText="1"/>
    </xf>
    <xf numFmtId="10" fontId="0" fillId="0" borderId="2" xfId="0" applyNumberFormat="1" applyBorder="1"/>
    <xf numFmtId="4" fontId="0" fillId="0" borderId="0" xfId="0" applyNumberFormat="1"/>
    <xf numFmtId="9" fontId="0" fillId="0" borderId="2" xfId="0" applyNumberFormat="1" applyFont="1" applyBorder="1" applyAlignment="1">
      <alignment vertical="top" wrapText="1"/>
    </xf>
    <xf numFmtId="167" fontId="0" fillId="0" borderId="2" xfId="0" applyNumberFormat="1" applyBorder="1" applyAlignment="1">
      <alignment horizontal="center"/>
    </xf>
    <xf numFmtId="10" fontId="5" fillId="0" borderId="2" xfId="0" applyNumberFormat="1" applyFont="1" applyBorder="1"/>
    <xf numFmtId="10" fontId="0" fillId="0" borderId="2" xfId="0" applyNumberFormat="1" applyBorder="1" applyAlignment="1">
      <alignment horizontal="center"/>
    </xf>
    <xf numFmtId="4" fontId="0" fillId="0" borderId="2" xfId="0" applyNumberFormat="1" applyBorder="1"/>
    <xf numFmtId="167" fontId="5" fillId="0" borderId="2" xfId="0" applyNumberFormat="1" applyFont="1" applyBorder="1" applyAlignment="1">
      <alignment horizontal="center"/>
    </xf>
    <xf numFmtId="10" fontId="5" fillId="0" borderId="2" xfId="0" applyNumberFormat="1" applyFont="1" applyBorder="1" applyAlignment="1">
      <alignment horizontal="center"/>
    </xf>
    <xf numFmtId="0" fontId="18" fillId="7" borderId="0" xfId="0" applyFont="1" applyFill="1" applyAlignment="1" applyProtection="1">
      <alignment vertical="center" wrapText="1"/>
      <protection locked="0"/>
    </xf>
    <xf numFmtId="2" fontId="18" fillId="7" borderId="14" xfId="0" applyNumberFormat="1" applyFont="1" applyFill="1" applyBorder="1" applyAlignment="1" applyProtection="1">
      <alignment horizontal="center" vertical="center"/>
      <protection locked="0"/>
    </xf>
    <xf numFmtId="17" fontId="18" fillId="7" borderId="2" xfId="0" applyNumberFormat="1" applyFont="1" applyFill="1" applyBorder="1" applyAlignment="1" applyProtection="1">
      <alignment horizontal="center" vertical="center"/>
      <protection locked="0"/>
    </xf>
    <xf numFmtId="0" fontId="18" fillId="7" borderId="2" xfId="0" applyFont="1" applyFill="1" applyBorder="1" applyAlignment="1" applyProtection="1">
      <alignment horizontal="center" vertical="center"/>
      <protection locked="0"/>
    </xf>
    <xf numFmtId="169" fontId="18" fillId="7" borderId="4" xfId="0" applyNumberFormat="1" applyFont="1" applyFill="1" applyBorder="1" applyAlignment="1">
      <alignment horizontal="center" vertical="center"/>
    </xf>
    <xf numFmtId="0" fontId="19" fillId="8" borderId="2" xfId="0" applyFont="1" applyFill="1" applyBorder="1" applyAlignment="1">
      <alignment vertical="center"/>
    </xf>
    <xf numFmtId="0" fontId="19" fillId="8" borderId="2" xfId="0" applyFont="1" applyFill="1" applyBorder="1" applyAlignment="1">
      <alignment horizontal="center" vertical="center"/>
    </xf>
    <xf numFmtId="0" fontId="20" fillId="3" borderId="19" xfId="0" applyFont="1" applyFill="1" applyBorder="1" applyAlignment="1">
      <alignment horizontal="left" vertical="center"/>
    </xf>
    <xf numFmtId="0" fontId="20" fillId="3" borderId="19" xfId="0" applyFont="1" applyFill="1" applyBorder="1" applyAlignment="1">
      <alignment horizontal="center" vertical="center"/>
    </xf>
    <xf numFmtId="0" fontId="20" fillId="3" borderId="19" xfId="0" applyFont="1" applyFill="1" applyBorder="1" applyAlignment="1" applyProtection="1">
      <alignment vertical="center" wrapText="1"/>
      <protection locked="0"/>
    </xf>
    <xf numFmtId="0" fontId="20" fillId="3" borderId="19" xfId="0" applyFont="1" applyFill="1" applyBorder="1" applyAlignment="1" applyProtection="1">
      <alignment horizontal="center" vertical="center" wrapText="1"/>
      <protection locked="0"/>
    </xf>
    <xf numFmtId="170" fontId="20" fillId="3" borderId="19" xfId="0" applyNumberFormat="1" applyFont="1" applyFill="1" applyBorder="1" applyAlignment="1" applyProtection="1">
      <alignment horizontal="center" vertical="center" wrapText="1"/>
      <protection locked="0"/>
    </xf>
    <xf numFmtId="2" fontId="20" fillId="3" borderId="19" xfId="1" applyNumberFormat="1" applyFont="1" applyFill="1" applyBorder="1" applyAlignment="1" applyProtection="1">
      <alignment horizontal="center" vertical="center" wrapText="1"/>
      <protection locked="0"/>
    </xf>
    <xf numFmtId="169" fontId="20" fillId="3" borderId="19" xfId="0" applyNumberFormat="1" applyFont="1" applyFill="1" applyBorder="1" applyAlignment="1">
      <alignment horizontal="center" vertical="center"/>
    </xf>
    <xf numFmtId="0" fontId="20" fillId="3" borderId="20" xfId="0" applyFont="1" applyFill="1" applyBorder="1" applyAlignment="1">
      <alignment horizontal="left" vertical="center"/>
    </xf>
    <xf numFmtId="0" fontId="20" fillId="3" borderId="20" xfId="0" applyFont="1" applyFill="1" applyBorder="1" applyAlignment="1" applyProtection="1">
      <alignment vertical="center" wrapText="1"/>
      <protection locked="0"/>
    </xf>
    <xf numFmtId="0" fontId="20" fillId="3" borderId="20" xfId="0" applyFont="1" applyFill="1" applyBorder="1" applyAlignment="1" applyProtection="1">
      <alignment horizontal="center" vertical="center" wrapText="1"/>
      <protection locked="0"/>
    </xf>
    <xf numFmtId="170" fontId="20" fillId="3" borderId="20" xfId="0" applyNumberFormat="1" applyFont="1" applyFill="1" applyBorder="1" applyAlignment="1" applyProtection="1">
      <alignment horizontal="center" vertical="center" wrapText="1"/>
      <protection locked="0"/>
    </xf>
    <xf numFmtId="2" fontId="20" fillId="3" borderId="20" xfId="1" applyNumberFormat="1" applyFont="1" applyFill="1" applyBorder="1" applyAlignment="1" applyProtection="1">
      <alignment horizontal="center" vertical="center" wrapText="1"/>
      <protection locked="0"/>
    </xf>
    <xf numFmtId="169" fontId="20" fillId="3" borderId="20" xfId="0" applyNumberFormat="1" applyFont="1" applyFill="1" applyBorder="1" applyAlignment="1">
      <alignment horizontal="center" vertical="center"/>
    </xf>
    <xf numFmtId="2" fontId="20" fillId="3" borderId="20" xfId="0" applyNumberFormat="1" applyFont="1" applyFill="1" applyBorder="1" applyAlignment="1" applyProtection="1">
      <alignment horizontal="center" vertical="center" wrapText="1"/>
      <protection locked="0"/>
    </xf>
    <xf numFmtId="0" fontId="18" fillId="7" borderId="2" xfId="0" applyFont="1" applyFill="1" applyBorder="1" applyAlignment="1" applyProtection="1">
      <alignment vertical="center" wrapText="1"/>
      <protection locked="0"/>
    </xf>
    <xf numFmtId="2" fontId="18" fillId="7" borderId="2" xfId="0" applyNumberFormat="1" applyFont="1" applyFill="1" applyBorder="1" applyAlignment="1" applyProtection="1">
      <alignment horizontal="center" vertical="center"/>
      <protection locked="0"/>
    </xf>
    <xf numFmtId="169" fontId="18" fillId="7" borderId="2" xfId="0" applyNumberFormat="1" applyFont="1" applyFill="1" applyBorder="1" applyAlignment="1">
      <alignment horizontal="center" vertical="center"/>
    </xf>
    <xf numFmtId="49" fontId="15" fillId="0" borderId="19" xfId="2" applyNumberFormat="1" applyFont="1" applyBorder="1" applyAlignment="1">
      <alignment horizontal="center" vertical="center" wrapText="1"/>
    </xf>
    <xf numFmtId="49" fontId="15" fillId="0" borderId="20" xfId="2" applyNumberFormat="1" applyFont="1" applyBorder="1" applyAlignment="1">
      <alignment horizontal="center" vertical="center" wrapText="1"/>
    </xf>
    <xf numFmtId="171" fontId="7" fillId="0" borderId="7" xfId="0" applyNumberFormat="1" applyFont="1" applyBorder="1" applyAlignment="1">
      <alignment horizontal="center" vertical="top" wrapText="1"/>
    </xf>
    <xf numFmtId="171" fontId="7" fillId="0" borderId="16" xfId="0" applyNumberFormat="1" applyFont="1" applyBorder="1" applyAlignment="1">
      <alignment vertical="top" wrapText="1"/>
    </xf>
    <xf numFmtId="171" fontId="7" fillId="0" borderId="8" xfId="0" applyNumberFormat="1" applyFont="1" applyBorder="1" applyAlignment="1">
      <alignment vertical="top" wrapText="1"/>
    </xf>
    <xf numFmtId="171" fontId="6" fillId="0" borderId="8" xfId="0" applyNumberFormat="1" applyFont="1" applyBorder="1" applyAlignment="1">
      <alignment vertical="top"/>
    </xf>
    <xf numFmtId="171" fontId="7" fillId="0" borderId="0" xfId="0" applyNumberFormat="1" applyFont="1" applyAlignment="1">
      <alignment horizontal="center" vertical="top"/>
    </xf>
    <xf numFmtId="171" fontId="7" fillId="0" borderId="15" xfId="0" applyNumberFormat="1" applyFont="1" applyBorder="1" applyAlignment="1">
      <alignment vertical="top"/>
    </xf>
    <xf numFmtId="171" fontId="7" fillId="0" borderId="10" xfId="0" applyNumberFormat="1" applyFont="1" applyBorder="1" applyAlignment="1">
      <alignment vertical="top"/>
    </xf>
    <xf numFmtId="171" fontId="7" fillId="0" borderId="1" xfId="0" applyNumberFormat="1" applyFont="1" applyBorder="1" applyAlignment="1">
      <alignment horizontal="center" vertical="top"/>
    </xf>
    <xf numFmtId="171" fontId="7" fillId="0" borderId="14" xfId="0" applyNumberFormat="1" applyFont="1" applyBorder="1" applyAlignment="1">
      <alignment vertical="top"/>
    </xf>
    <xf numFmtId="171" fontId="7" fillId="0" borderId="17" xfId="0" applyNumberFormat="1" applyFont="1" applyBorder="1" applyAlignment="1">
      <alignment vertical="top"/>
    </xf>
    <xf numFmtId="171" fontId="12" fillId="0" borderId="15" xfId="0" applyNumberFormat="1" applyFont="1" applyBorder="1" applyAlignment="1">
      <alignment vertical="top"/>
    </xf>
    <xf numFmtId="171" fontId="6" fillId="0" borderId="10" xfId="0" applyNumberFormat="1" applyFont="1" applyBorder="1" applyAlignment="1">
      <alignment vertical="top"/>
    </xf>
    <xf numFmtId="171" fontId="7" fillId="3" borderId="0" xfId="0" applyNumberFormat="1" applyFont="1" applyFill="1" applyAlignment="1">
      <alignment horizontal="center" vertical="top"/>
    </xf>
    <xf numFmtId="171" fontId="7" fillId="0" borderId="9" xfId="0" applyNumberFormat="1" applyFont="1" applyBorder="1" applyAlignment="1">
      <alignment horizontal="center" vertical="top"/>
    </xf>
    <xf numFmtId="171" fontId="7" fillId="0" borderId="9" xfId="0" applyNumberFormat="1" applyFont="1" applyBorder="1" applyAlignment="1">
      <alignment vertical="top"/>
    </xf>
    <xf numFmtId="171" fontId="7" fillId="0" borderId="15" xfId="0" applyNumberFormat="1" applyFont="1" applyBorder="1" applyAlignment="1">
      <alignment horizontal="center" vertical="top"/>
    </xf>
    <xf numFmtId="171" fontId="7" fillId="3" borderId="15" xfId="0" applyNumberFormat="1" applyFont="1" applyFill="1" applyBorder="1" applyAlignment="1">
      <alignment horizontal="center" vertical="top"/>
    </xf>
    <xf numFmtId="171" fontId="7" fillId="0" borderId="14" xfId="0" applyNumberFormat="1" applyFont="1" applyBorder="1" applyAlignment="1">
      <alignment horizontal="center" vertical="top"/>
    </xf>
    <xf numFmtId="171" fontId="12" fillId="0" borderId="18" xfId="0" applyNumberFormat="1" applyFont="1" applyBorder="1" applyAlignment="1">
      <alignment vertical="top"/>
    </xf>
    <xf numFmtId="171" fontId="12" fillId="0" borderId="9" xfId="0" applyNumberFormat="1" applyFont="1" applyBorder="1" applyAlignment="1">
      <alignment vertical="top"/>
    </xf>
    <xf numFmtId="171" fontId="7" fillId="3" borderId="15" xfId="0" applyNumberFormat="1" applyFont="1" applyFill="1" applyBorder="1" applyAlignment="1">
      <alignment vertical="top"/>
    </xf>
    <xf numFmtId="171" fontId="7" fillId="3" borderId="10" xfId="0" applyNumberFormat="1" applyFont="1" applyFill="1" applyBorder="1" applyAlignment="1">
      <alignment vertical="top"/>
    </xf>
    <xf numFmtId="171" fontId="6" fillId="0" borderId="7" xfId="0" applyNumberFormat="1" applyFont="1" applyBorder="1" applyAlignment="1">
      <alignment horizontal="center" vertical="top"/>
    </xf>
    <xf numFmtId="171" fontId="6" fillId="0" borderId="16" xfId="0" applyNumberFormat="1" applyFont="1" applyBorder="1" applyAlignment="1">
      <alignment vertical="top"/>
    </xf>
    <xf numFmtId="171" fontId="7" fillId="0" borderId="8" xfId="0" applyNumberFormat="1" applyFont="1" applyBorder="1" applyAlignment="1">
      <alignment vertical="top"/>
    </xf>
    <xf numFmtId="171" fontId="6" fillId="0" borderId="0" xfId="0" applyNumberFormat="1" applyFont="1" applyAlignment="1">
      <alignment horizontal="center" vertical="top"/>
    </xf>
    <xf numFmtId="171" fontId="6" fillId="0" borderId="15" xfId="0" applyNumberFormat="1" applyFont="1" applyBorder="1" applyAlignment="1">
      <alignment vertical="top"/>
    </xf>
    <xf numFmtId="171" fontId="7" fillId="0" borderId="0" xfId="0" applyNumberFormat="1" applyFont="1" applyBorder="1" applyAlignment="1">
      <alignment vertical="top"/>
    </xf>
    <xf numFmtId="171" fontId="7" fillId="0" borderId="0" xfId="0" applyNumberFormat="1" applyFont="1" applyBorder="1" applyAlignment="1">
      <alignment horizontal="center" vertical="top"/>
    </xf>
    <xf numFmtId="171" fontId="7" fillId="0" borderId="1" xfId="0" applyNumberFormat="1" applyFont="1" applyBorder="1" applyAlignment="1">
      <alignment vertical="top"/>
    </xf>
    <xf numFmtId="171" fontId="12" fillId="0" borderId="0" xfId="0" applyNumberFormat="1" applyFont="1" applyAlignment="1">
      <alignment horizontal="center" vertical="top"/>
    </xf>
    <xf numFmtId="171" fontId="12" fillId="0" borderId="10" xfId="0" applyNumberFormat="1" applyFont="1" applyBorder="1" applyAlignment="1">
      <alignment vertical="top"/>
    </xf>
    <xf numFmtId="171" fontId="10" fillId="6" borderId="5" xfId="0" applyNumberFormat="1" applyFont="1" applyFill="1" applyBorder="1" applyAlignment="1">
      <alignment horizontal="center" vertical="top" wrapText="1"/>
    </xf>
    <xf numFmtId="171" fontId="10" fillId="6" borderId="2" xfId="0" applyNumberFormat="1" applyFont="1" applyFill="1" applyBorder="1" applyAlignment="1">
      <alignment horizontal="right" vertical="top" wrapText="1"/>
    </xf>
    <xf numFmtId="171" fontId="10" fillId="6" borderId="4" xfId="0" applyNumberFormat="1" applyFont="1" applyFill="1" applyBorder="1" applyAlignment="1">
      <alignment horizontal="right" vertical="top" wrapText="1"/>
    </xf>
    <xf numFmtId="171" fontId="9" fillId="6" borderId="4" xfId="2" applyNumberFormat="1" applyFont="1" applyFill="1" applyBorder="1" applyAlignment="1">
      <alignment vertical="top" wrapText="1"/>
    </xf>
    <xf numFmtId="171" fontId="0" fillId="0" borderId="2" xfId="0" applyNumberFormat="1" applyBorder="1" applyAlignment="1">
      <alignment horizontal="center" vertical="top"/>
    </xf>
    <xf numFmtId="171" fontId="0" fillId="0" borderId="2" xfId="0" applyNumberFormat="1" applyBorder="1"/>
    <xf numFmtId="171" fontId="0" fillId="0" borderId="2" xfId="0" applyNumberFormat="1" applyBorder="1" applyAlignment="1">
      <alignment horizontal="center"/>
    </xf>
    <xf numFmtId="171" fontId="2" fillId="0" borderId="2" xfId="0" applyNumberFormat="1" applyFont="1" applyBorder="1"/>
    <xf numFmtId="0" fontId="2" fillId="0" borderId="2" xfId="0" applyFont="1" applyBorder="1" applyAlignment="1">
      <alignment horizontal="center"/>
    </xf>
    <xf numFmtId="0" fontId="0" fillId="0" borderId="2" xfId="0" applyFont="1" applyBorder="1" applyAlignment="1">
      <alignment horizontal="center"/>
    </xf>
    <xf numFmtId="0" fontId="0" fillId="0" borderId="2" xfId="0" applyFont="1" applyBorder="1" applyAlignment="1">
      <alignment horizontal="center" vertical="center" wrapText="1"/>
    </xf>
    <xf numFmtId="0" fontId="2" fillId="2" borderId="5" xfId="0" applyFont="1" applyFill="1" applyBorder="1" applyAlignment="1">
      <alignment horizontal="center"/>
    </xf>
    <xf numFmtId="0" fontId="0" fillId="0" borderId="4" xfId="0" applyFont="1" applyBorder="1" applyAlignment="1">
      <alignment horizontal="center"/>
    </xf>
    <xf numFmtId="0" fontId="2" fillId="3" borderId="2" xfId="0" applyFont="1" applyFill="1" applyBorder="1" applyAlignment="1">
      <alignment horizontal="center"/>
    </xf>
    <xf numFmtId="0" fontId="2" fillId="5" borderId="2" xfId="0" applyFont="1" applyFill="1" applyBorder="1" applyAlignment="1">
      <alignment horizontal="center"/>
    </xf>
    <xf numFmtId="0" fontId="2" fillId="0" borderId="4" xfId="0" applyFont="1" applyBorder="1" applyAlignment="1">
      <alignment horizontal="center"/>
    </xf>
    <xf numFmtId="0" fontId="0" fillId="2" borderId="5" xfId="0" applyFill="1" applyBorder="1" applyAlignment="1">
      <alignment horizontal="center"/>
    </xf>
    <xf numFmtId="0" fontId="1" fillId="0" borderId="2" xfId="0" applyFont="1" applyBorder="1" applyAlignment="1">
      <alignment horizontal="center"/>
    </xf>
    <xf numFmtId="0" fontId="2" fillId="0" borderId="0" xfId="0" applyFont="1" applyBorder="1" applyAlignment="1">
      <alignment horizontal="center"/>
    </xf>
    <xf numFmtId="0" fontId="2" fillId="2" borderId="1" xfId="0" applyFont="1" applyFill="1" applyBorder="1" applyAlignment="1">
      <alignment horizontal="center"/>
    </xf>
    <xf numFmtId="4" fontId="6" fillId="3" borderId="9" xfId="2" applyNumberFormat="1" applyFont="1" applyFill="1" applyBorder="1" applyAlignment="1">
      <alignment horizontal="left" vertical="top" wrapText="1"/>
    </xf>
    <xf numFmtId="4" fontId="6" fillId="3" borderId="0" xfId="2" applyNumberFormat="1" applyFont="1" applyFill="1" applyBorder="1" applyAlignment="1">
      <alignment horizontal="left" vertical="top"/>
    </xf>
    <xf numFmtId="0" fontId="6" fillId="3" borderId="9" xfId="0" applyFont="1" applyFill="1" applyBorder="1" applyAlignment="1">
      <alignment horizontal="left" vertical="top" wrapText="1"/>
    </xf>
    <xf numFmtId="4" fontId="2" fillId="3" borderId="9" xfId="2" applyNumberFormat="1" applyFont="1" applyFill="1" applyBorder="1" applyAlignment="1">
      <alignment horizontal="left" vertical="top" wrapText="1"/>
    </xf>
    <xf numFmtId="0" fontId="2" fillId="3" borderId="9" xfId="0" applyFont="1" applyFill="1" applyBorder="1" applyAlignment="1">
      <alignment horizontal="left" vertical="top" wrapText="1"/>
    </xf>
    <xf numFmtId="0" fontId="5" fillId="0" borderId="2" xfId="0" applyFont="1" applyBorder="1" applyAlignment="1">
      <alignment horizontal="center"/>
    </xf>
    <xf numFmtId="0" fontId="2" fillId="3" borderId="2" xfId="0" applyFont="1" applyFill="1" applyBorder="1" applyAlignment="1">
      <alignment horizontal="center" vertical="center" wrapText="1"/>
    </xf>
    <xf numFmtId="0" fontId="2" fillId="0" borderId="2" xfId="0" applyFont="1" applyBorder="1" applyAlignment="1">
      <alignment horizontal="center" vertical="center" wrapText="1"/>
    </xf>
    <xf numFmtId="0" fontId="5" fillId="7" borderId="2" xfId="0" applyFont="1" applyFill="1" applyBorder="1" applyAlignment="1" applyProtection="1">
      <alignment vertical="center" wrapText="1"/>
      <protection locked="0"/>
    </xf>
  </cellXfs>
  <cellStyles count="3">
    <cellStyle name="Normal" xfId="0" builtinId="0"/>
    <cellStyle name="TableStyleLight1" xfId="2"/>
    <cellStyle name="Vírgula" xfId="1"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EDEDED"/>
      <rgbColor rgb="00CCFFFF"/>
      <rgbColor rgb="00660066"/>
      <rgbColor rgb="00FF8080"/>
      <rgbColor rgb="000066CC"/>
      <rgbColor rgb="00D9D9D9"/>
      <rgbColor rgb="00000080"/>
      <rgbColor rgb="00FF00FF"/>
      <rgbColor rgb="00FFFF00"/>
      <rgbColor rgb="0000FFFF"/>
      <rgbColor rgb="00800080"/>
      <rgbColor rgb="00800000"/>
      <rgbColor rgb="00008080"/>
      <rgbColor rgb="000000FF"/>
      <rgbColor rgb="0000CCFF"/>
      <rgbColor rgb="00CCFFFF"/>
      <rgbColor rgb="00CCFFCC"/>
      <rgbColor rgb="00FFFF99"/>
      <rgbColor rgb="00BFBFBF"/>
      <rgbColor rgb="00FF99CC"/>
      <rgbColor rgb="00CC99FF"/>
      <rgbColor rgb="00C9C9C9"/>
      <rgbColor rgb="003366FF"/>
      <rgbColor rgb="0033CCCC"/>
      <rgbColor rgb="0099CC00"/>
      <rgbColor rgb="00FFCC00"/>
      <rgbColor rgb="00FF9900"/>
      <rgbColor rgb="00FF6600"/>
      <rgbColor rgb="0044546A"/>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5</xdr:col>
      <xdr:colOff>474840</xdr:colOff>
      <xdr:row>0</xdr:row>
      <xdr:rowOff>150840</xdr:rowOff>
    </xdr:from>
    <xdr:to>
      <xdr:col>8</xdr:col>
      <xdr:colOff>169965</xdr:colOff>
      <xdr:row>4</xdr:row>
      <xdr:rowOff>49320</xdr:rowOff>
    </xdr:to>
    <xdr:pic>
      <xdr:nvPicPr>
        <xdr:cNvPr id="2" name="Picture 5"/>
        <xdr:cNvPicPr/>
      </xdr:nvPicPr>
      <xdr:blipFill>
        <a:blip xmlns:r="http://schemas.openxmlformats.org/officeDocument/2006/relationships" r:embed="rId1"/>
        <a:stretch>
          <a:fillRect/>
        </a:stretch>
      </xdr:blipFill>
      <xdr:spPr>
        <a:xfrm>
          <a:off x="8407800" y="150840"/>
          <a:ext cx="1937160" cy="6699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503280</xdr:colOff>
      <xdr:row>0</xdr:row>
      <xdr:rowOff>81000</xdr:rowOff>
    </xdr:from>
    <xdr:to>
      <xdr:col>7</xdr:col>
      <xdr:colOff>205044</xdr:colOff>
      <xdr:row>4</xdr:row>
      <xdr:rowOff>26640</xdr:rowOff>
    </xdr:to>
    <xdr:pic>
      <xdr:nvPicPr>
        <xdr:cNvPr id="2" name="Picture 5"/>
        <xdr:cNvPicPr/>
      </xdr:nvPicPr>
      <xdr:blipFill>
        <a:blip xmlns:r="http://schemas.openxmlformats.org/officeDocument/2006/relationships" r:embed="rId1"/>
        <a:stretch>
          <a:fillRect/>
        </a:stretch>
      </xdr:blipFill>
      <xdr:spPr>
        <a:xfrm>
          <a:off x="7416360" y="81000"/>
          <a:ext cx="2235960" cy="698400"/>
        </a:xfrm>
        <a:prstGeom prst="rect">
          <a:avLst/>
        </a:prstGeom>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data:Setembro/2010"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63"/>
  <sheetViews>
    <sheetView view="pageBreakPreview" topLeftCell="A525" zoomScale="84" zoomScaleNormal="100" zoomScalePageLayoutView="84" workbookViewId="0">
      <selection activeCell="A538" sqref="A538"/>
    </sheetView>
  </sheetViews>
  <sheetFormatPr defaultRowHeight="15" x14ac:dyDescent="0.25"/>
  <cols>
    <col min="1" max="1" width="39.7109375"/>
    <col min="2" max="2" width="11"/>
    <col min="3" max="3" width="13.85546875"/>
    <col min="4" max="4" width="11.28515625"/>
    <col min="5" max="5" width="10.5703125"/>
    <col min="6" max="237" width="8.7109375"/>
    <col min="238" max="238" width="29.85546875"/>
    <col min="239" max="239" width="8.7109375"/>
    <col min="240" max="240" width="13.85546875"/>
    <col min="241" max="241" width="8.7109375"/>
    <col min="242" max="242" width="10.5703125"/>
    <col min="243" max="257" width="8.7109375"/>
  </cols>
  <sheetData>
    <row r="1" spans="1:6" x14ac:dyDescent="0.25">
      <c r="A1" s="254" t="s">
        <v>0</v>
      </c>
      <c r="B1" s="254"/>
      <c r="C1" s="254"/>
      <c r="D1" s="254"/>
      <c r="E1" s="254"/>
      <c r="F1" s="254"/>
    </row>
    <row r="2" spans="1:6" x14ac:dyDescent="0.25">
      <c r="A2" s="255"/>
      <c r="B2" s="255"/>
      <c r="C2" s="255"/>
      <c r="D2" s="255"/>
      <c r="E2" s="255"/>
      <c r="F2" s="255"/>
    </row>
    <row r="3" spans="1:6" x14ac:dyDescent="0.25">
      <c r="A3" s="244" t="s">
        <v>1</v>
      </c>
      <c r="B3" s="244"/>
      <c r="C3" s="244"/>
      <c r="D3" s="244"/>
      <c r="E3" s="244"/>
      <c r="F3" s="244"/>
    </row>
    <row r="4" spans="1:6" x14ac:dyDescent="0.25">
      <c r="A4" s="2" t="s">
        <v>2</v>
      </c>
      <c r="B4" s="2" t="s">
        <v>3</v>
      </c>
      <c r="C4" s="2" t="s">
        <v>4</v>
      </c>
      <c r="D4" s="2" t="s">
        <v>5</v>
      </c>
      <c r="E4" s="2" t="s">
        <v>6</v>
      </c>
      <c r="F4" s="2" t="s">
        <v>7</v>
      </c>
    </row>
    <row r="5" spans="1:6" x14ac:dyDescent="0.25">
      <c r="A5" s="3" t="s">
        <v>8</v>
      </c>
      <c r="B5" s="4">
        <v>1</v>
      </c>
      <c r="C5" s="5">
        <v>2</v>
      </c>
      <c r="D5" s="1"/>
      <c r="E5" s="5">
        <v>1.5</v>
      </c>
      <c r="F5" s="5">
        <f>B5*C5*E5</f>
        <v>3</v>
      </c>
    </row>
    <row r="6" spans="1:6" x14ac:dyDescent="0.25">
      <c r="A6" s="3"/>
      <c r="B6" s="4"/>
      <c r="C6" s="4"/>
      <c r="D6" s="1"/>
      <c r="E6" s="1"/>
      <c r="F6" s="5"/>
    </row>
    <row r="7" spans="1:6" x14ac:dyDescent="0.25">
      <c r="A7" s="244" t="s">
        <v>9</v>
      </c>
      <c r="B7" s="244"/>
      <c r="C7" s="244"/>
      <c r="D7" s="244"/>
      <c r="E7" s="244"/>
      <c r="F7" s="6">
        <f>SUM(F5:F6)</f>
        <v>3</v>
      </c>
    </row>
    <row r="8" spans="1:6" x14ac:dyDescent="0.25">
      <c r="A8" s="7"/>
      <c r="B8" s="7"/>
      <c r="C8" s="7"/>
      <c r="D8" s="7"/>
      <c r="E8" s="7"/>
      <c r="F8" s="7"/>
    </row>
    <row r="9" spans="1:6" x14ac:dyDescent="0.25">
      <c r="A9" s="244" t="s">
        <v>10</v>
      </c>
      <c r="B9" s="244"/>
      <c r="C9" s="244"/>
      <c r="D9" s="244"/>
      <c r="E9" s="244"/>
      <c r="F9" s="244"/>
    </row>
    <row r="10" spans="1:6" x14ac:dyDescent="0.25">
      <c r="A10" s="2" t="s">
        <v>2</v>
      </c>
      <c r="B10" s="2" t="s">
        <v>3</v>
      </c>
      <c r="C10" s="8" t="s">
        <v>4</v>
      </c>
      <c r="D10" s="9" t="s">
        <v>11</v>
      </c>
      <c r="E10" s="9"/>
      <c r="F10" s="2" t="s">
        <v>7</v>
      </c>
    </row>
    <row r="11" spans="1:6" x14ac:dyDescent="0.25">
      <c r="A11" s="3" t="s">
        <v>12</v>
      </c>
      <c r="B11" s="4">
        <v>1</v>
      </c>
      <c r="C11" s="4"/>
      <c r="D11" s="5">
        <v>3</v>
      </c>
      <c r="E11" s="1"/>
      <c r="F11" s="5">
        <f>B11*D11</f>
        <v>3</v>
      </c>
    </row>
    <row r="12" spans="1:6" x14ac:dyDescent="0.25">
      <c r="A12" s="3"/>
      <c r="B12" s="4"/>
      <c r="C12" s="4"/>
      <c r="D12" s="4"/>
      <c r="E12" s="1"/>
      <c r="F12" s="5"/>
    </row>
    <row r="13" spans="1:6" x14ac:dyDescent="0.25">
      <c r="A13" s="244" t="s">
        <v>13</v>
      </c>
      <c r="B13" s="244"/>
      <c r="C13" s="244"/>
      <c r="D13" s="244"/>
      <c r="E13" s="244"/>
      <c r="F13" s="6">
        <f>SUM(F11:F12)</f>
        <v>3</v>
      </c>
    </row>
    <row r="14" spans="1:6" x14ac:dyDescent="0.25">
      <c r="A14" s="7"/>
      <c r="B14" s="7"/>
      <c r="C14" s="7"/>
      <c r="D14" s="7"/>
      <c r="E14" s="7"/>
      <c r="F14" s="7"/>
    </row>
    <row r="15" spans="1:6" x14ac:dyDescent="0.25">
      <c r="A15" s="244" t="s">
        <v>14</v>
      </c>
      <c r="B15" s="244"/>
      <c r="C15" s="244"/>
      <c r="D15" s="244"/>
      <c r="E15" s="244"/>
      <c r="F15" s="244"/>
    </row>
    <row r="16" spans="1:6" x14ac:dyDescent="0.25">
      <c r="A16" s="2" t="s">
        <v>2</v>
      </c>
      <c r="B16" s="2" t="s">
        <v>3</v>
      </c>
      <c r="C16" s="8" t="s">
        <v>4</v>
      </c>
      <c r="D16" s="9" t="s">
        <v>11</v>
      </c>
      <c r="E16" s="9" t="s">
        <v>15</v>
      </c>
      <c r="F16" s="2" t="s">
        <v>7</v>
      </c>
    </row>
    <row r="17" spans="1:6" x14ac:dyDescent="0.25">
      <c r="A17" s="3" t="s">
        <v>12</v>
      </c>
      <c r="B17" s="4">
        <v>1</v>
      </c>
      <c r="C17" s="4"/>
      <c r="D17" s="5"/>
      <c r="E17" s="5">
        <v>34</v>
      </c>
      <c r="F17" s="5">
        <f>B17*E17</f>
        <v>34</v>
      </c>
    </row>
    <row r="18" spans="1:6" x14ac:dyDescent="0.25">
      <c r="A18" s="3"/>
      <c r="B18" s="4"/>
      <c r="C18" s="4"/>
      <c r="D18" s="4"/>
      <c r="E18" s="1"/>
      <c r="F18" s="5"/>
    </row>
    <row r="19" spans="1:6" x14ac:dyDescent="0.25">
      <c r="A19" s="244" t="s">
        <v>16</v>
      </c>
      <c r="B19" s="244"/>
      <c r="C19" s="244"/>
      <c r="D19" s="244"/>
      <c r="E19" s="244"/>
      <c r="F19" s="6">
        <f>SUM(F17:F18)</f>
        <v>34</v>
      </c>
    </row>
    <row r="20" spans="1:6" x14ac:dyDescent="0.25">
      <c r="A20" s="7"/>
      <c r="B20" s="7"/>
      <c r="C20" s="7"/>
      <c r="D20" s="7"/>
      <c r="E20" s="7"/>
      <c r="F20" s="7"/>
    </row>
    <row r="21" spans="1:6" x14ac:dyDescent="0.25">
      <c r="A21" s="244" t="s">
        <v>17</v>
      </c>
      <c r="B21" s="244"/>
      <c r="C21" s="244"/>
      <c r="D21" s="244"/>
      <c r="E21" s="244"/>
      <c r="F21" s="244"/>
    </row>
    <row r="22" spans="1:6" x14ac:dyDescent="0.25">
      <c r="A22" s="2" t="s">
        <v>2</v>
      </c>
      <c r="B22" s="2" t="s">
        <v>3</v>
      </c>
      <c r="C22" s="8" t="s">
        <v>4</v>
      </c>
      <c r="D22" s="9" t="s">
        <v>11</v>
      </c>
      <c r="E22" s="9" t="s">
        <v>15</v>
      </c>
      <c r="F22" s="2" t="s">
        <v>7</v>
      </c>
    </row>
    <row r="23" spans="1:6" x14ac:dyDescent="0.25">
      <c r="A23" s="3" t="s">
        <v>18</v>
      </c>
      <c r="B23" s="4">
        <v>1</v>
      </c>
      <c r="C23" s="4"/>
      <c r="D23" s="5"/>
      <c r="E23" s="5"/>
      <c r="F23" s="5">
        <f>B23</f>
        <v>1</v>
      </c>
    </row>
    <row r="24" spans="1:6" x14ac:dyDescent="0.25">
      <c r="A24" s="3" t="s">
        <v>19</v>
      </c>
      <c r="B24" s="4">
        <v>1</v>
      </c>
      <c r="C24" s="4"/>
      <c r="D24" s="4"/>
      <c r="E24" s="1"/>
      <c r="F24" s="5">
        <f>B24</f>
        <v>1</v>
      </c>
    </row>
    <row r="25" spans="1:6" x14ac:dyDescent="0.25">
      <c r="A25" s="244" t="s">
        <v>16</v>
      </c>
      <c r="B25" s="244"/>
      <c r="C25" s="244"/>
      <c r="D25" s="244"/>
      <c r="E25" s="244"/>
      <c r="F25" s="6">
        <f>SUM(F23:F24)</f>
        <v>2</v>
      </c>
    </row>
    <row r="26" spans="1:6" x14ac:dyDescent="0.25">
      <c r="A26" s="7"/>
      <c r="B26" s="7"/>
      <c r="C26" s="7"/>
      <c r="D26" s="7"/>
      <c r="E26" s="7"/>
      <c r="F26" s="7"/>
    </row>
    <row r="27" spans="1:6" x14ac:dyDescent="0.25">
      <c r="A27" s="244" t="s">
        <v>20</v>
      </c>
      <c r="B27" s="244"/>
      <c r="C27" s="244"/>
      <c r="D27" s="244"/>
      <c r="E27" s="244"/>
      <c r="F27" s="244"/>
    </row>
    <row r="28" spans="1:6" x14ac:dyDescent="0.25">
      <c r="A28" s="2" t="s">
        <v>2</v>
      </c>
      <c r="B28" s="245" t="s">
        <v>21</v>
      </c>
      <c r="C28" s="245"/>
      <c r="D28" s="245"/>
      <c r="E28" s="245"/>
      <c r="F28" s="2" t="s">
        <v>7</v>
      </c>
    </row>
    <row r="29" spans="1:6" x14ac:dyDescent="0.25">
      <c r="A29" s="3" t="s">
        <v>8</v>
      </c>
      <c r="B29" s="253" t="s">
        <v>22</v>
      </c>
      <c r="C29" s="253"/>
      <c r="D29" s="253"/>
      <c r="E29" s="253"/>
      <c r="F29" s="5">
        <v>4</v>
      </c>
    </row>
    <row r="30" spans="1:6" x14ac:dyDescent="0.25">
      <c r="A30" s="3"/>
      <c r="B30" s="253"/>
      <c r="C30" s="253"/>
      <c r="D30" s="253"/>
      <c r="E30" s="253"/>
      <c r="F30" s="5"/>
    </row>
    <row r="31" spans="1:6" x14ac:dyDescent="0.25">
      <c r="A31" s="244" t="s">
        <v>23</v>
      </c>
      <c r="B31" s="244"/>
      <c r="C31" s="244"/>
      <c r="D31" s="244"/>
      <c r="E31" s="244"/>
      <c r="F31" s="6">
        <f>SUM(F29:F30)</f>
        <v>4</v>
      </c>
    </row>
    <row r="32" spans="1:6" x14ac:dyDescent="0.25">
      <c r="A32" s="7"/>
      <c r="B32" s="7"/>
      <c r="C32" s="7"/>
      <c r="D32" s="7"/>
      <c r="E32" s="7"/>
      <c r="F32" s="7"/>
    </row>
    <row r="33" spans="1:6" x14ac:dyDescent="0.25">
      <c r="A33" s="244" t="s">
        <v>24</v>
      </c>
      <c r="B33" s="244"/>
      <c r="C33" s="244"/>
      <c r="D33" s="244"/>
      <c r="E33" s="244"/>
      <c r="F33" s="244"/>
    </row>
    <row r="34" spans="1:6" x14ac:dyDescent="0.25">
      <c r="A34" s="2" t="s">
        <v>2</v>
      </c>
      <c r="B34" s="2" t="s">
        <v>3</v>
      </c>
      <c r="C34" s="8" t="s">
        <v>4</v>
      </c>
      <c r="D34" s="2" t="s">
        <v>6</v>
      </c>
      <c r="E34" s="2" t="s">
        <v>11</v>
      </c>
      <c r="F34" s="2" t="s">
        <v>7</v>
      </c>
    </row>
    <row r="35" spans="1:6" x14ac:dyDescent="0.25">
      <c r="A35" s="3" t="s">
        <v>8</v>
      </c>
      <c r="B35" s="4">
        <v>6</v>
      </c>
      <c r="C35" s="4">
        <v>1.5</v>
      </c>
      <c r="D35" s="5">
        <v>5</v>
      </c>
      <c r="E35" s="5">
        <v>3</v>
      </c>
      <c r="F35" s="5">
        <f>B35*C35*D35*E35</f>
        <v>135</v>
      </c>
    </row>
    <row r="36" spans="1:6" x14ac:dyDescent="0.25">
      <c r="A36" s="3"/>
      <c r="B36" s="4"/>
      <c r="C36" s="4"/>
      <c r="D36" s="4"/>
      <c r="E36" s="1"/>
      <c r="F36" s="5">
        <f>B36</f>
        <v>0</v>
      </c>
    </row>
    <row r="37" spans="1:6" x14ac:dyDescent="0.25">
      <c r="A37" s="244" t="s">
        <v>25</v>
      </c>
      <c r="B37" s="244"/>
      <c r="C37" s="244"/>
      <c r="D37" s="244"/>
      <c r="E37" s="244"/>
      <c r="F37" s="6">
        <f>SUM(F35:F36)</f>
        <v>135</v>
      </c>
    </row>
    <row r="38" spans="1:6" x14ac:dyDescent="0.25">
      <c r="A38" s="7"/>
      <c r="B38" s="7"/>
      <c r="C38" s="7"/>
      <c r="D38" s="7"/>
      <c r="E38" s="7"/>
      <c r="F38" s="7"/>
    </row>
    <row r="39" spans="1:6" x14ac:dyDescent="0.25">
      <c r="A39" s="244" t="s">
        <v>26</v>
      </c>
      <c r="B39" s="244"/>
      <c r="C39" s="244"/>
      <c r="D39" s="244"/>
      <c r="E39" s="244"/>
      <c r="F39" s="244"/>
    </row>
    <row r="40" spans="1:6" x14ac:dyDescent="0.25">
      <c r="A40" s="2" t="s">
        <v>2</v>
      </c>
      <c r="B40" s="2" t="s">
        <v>3</v>
      </c>
      <c r="C40" s="8" t="s">
        <v>4</v>
      </c>
      <c r="D40" s="2" t="s">
        <v>6</v>
      </c>
      <c r="E40" s="2" t="s">
        <v>15</v>
      </c>
      <c r="F40" s="2" t="s">
        <v>7</v>
      </c>
    </row>
    <row r="41" spans="1:6" x14ac:dyDescent="0.25">
      <c r="A41" s="3" t="s">
        <v>8</v>
      </c>
      <c r="B41" s="4">
        <v>6</v>
      </c>
      <c r="C41" s="4">
        <v>1.5</v>
      </c>
      <c r="D41" s="5">
        <v>5</v>
      </c>
      <c r="E41" s="10">
        <v>34</v>
      </c>
      <c r="F41" s="5">
        <f>B41*C41*D41*E41</f>
        <v>1530</v>
      </c>
    </row>
    <row r="42" spans="1:6" x14ac:dyDescent="0.25">
      <c r="A42" s="3"/>
      <c r="B42" s="4"/>
      <c r="C42" s="4"/>
      <c r="D42" s="4"/>
      <c r="E42" s="1"/>
      <c r="F42" s="5">
        <f>B42</f>
        <v>0</v>
      </c>
    </row>
    <row r="43" spans="1:6" x14ac:dyDescent="0.25">
      <c r="A43" s="244" t="s">
        <v>27</v>
      </c>
      <c r="B43" s="244"/>
      <c r="C43" s="244"/>
      <c r="D43" s="244"/>
      <c r="E43" s="244"/>
      <c r="F43" s="6">
        <f>SUM(F41:F42)</f>
        <v>1530</v>
      </c>
    </row>
    <row r="44" spans="1:6" x14ac:dyDescent="0.25">
      <c r="A44" s="7"/>
      <c r="B44" s="7"/>
      <c r="C44" s="7"/>
      <c r="D44" s="7"/>
      <c r="E44" s="7"/>
      <c r="F44" s="7"/>
    </row>
    <row r="45" spans="1:6" x14ac:dyDescent="0.25">
      <c r="A45" s="244" t="s">
        <v>28</v>
      </c>
      <c r="B45" s="244"/>
      <c r="C45" s="244"/>
      <c r="D45" s="244"/>
      <c r="E45" s="244"/>
      <c r="F45" s="244"/>
    </row>
    <row r="46" spans="1:6" x14ac:dyDescent="0.25">
      <c r="A46" s="2" t="s">
        <v>2</v>
      </c>
      <c r="B46" s="2" t="s">
        <v>3</v>
      </c>
      <c r="C46" s="8" t="s">
        <v>4</v>
      </c>
      <c r="D46" s="2" t="s">
        <v>5</v>
      </c>
      <c r="E46" s="2"/>
      <c r="F46" s="2" t="s">
        <v>7</v>
      </c>
    </row>
    <row r="47" spans="1:6" x14ac:dyDescent="0.25">
      <c r="A47" s="3" t="s">
        <v>8</v>
      </c>
      <c r="B47" s="4">
        <v>2</v>
      </c>
      <c r="C47" s="5">
        <v>9</v>
      </c>
      <c r="D47" s="5">
        <v>1</v>
      </c>
      <c r="E47" s="10"/>
      <c r="F47" s="5">
        <f>B47*C47*D47</f>
        <v>18</v>
      </c>
    </row>
    <row r="48" spans="1:6" x14ac:dyDescent="0.25">
      <c r="A48" s="3"/>
      <c r="B48" s="4"/>
      <c r="C48" s="4"/>
      <c r="D48" s="4"/>
      <c r="E48" s="1"/>
      <c r="F48" s="5">
        <f>B48</f>
        <v>0</v>
      </c>
    </row>
    <row r="49" spans="1:6" x14ac:dyDescent="0.25">
      <c r="A49" s="244" t="s">
        <v>29</v>
      </c>
      <c r="B49" s="244"/>
      <c r="C49" s="244"/>
      <c r="D49" s="244"/>
      <c r="E49" s="244"/>
      <c r="F49" s="6">
        <f>SUM(F47:F48)</f>
        <v>18</v>
      </c>
    </row>
    <row r="50" spans="1:6" x14ac:dyDescent="0.25">
      <c r="A50" s="7"/>
      <c r="B50" s="7"/>
      <c r="C50" s="7"/>
      <c r="D50" s="7"/>
      <c r="E50" s="7"/>
      <c r="F50" s="7"/>
    </row>
    <row r="51" spans="1:6" x14ac:dyDescent="0.25">
      <c r="A51" s="244" t="s">
        <v>30</v>
      </c>
      <c r="B51" s="244"/>
      <c r="C51" s="244"/>
      <c r="D51" s="244"/>
      <c r="E51" s="244"/>
      <c r="F51" s="244"/>
    </row>
    <row r="52" spans="1:6" x14ac:dyDescent="0.25">
      <c r="A52" s="2" t="s">
        <v>2</v>
      </c>
      <c r="B52" s="2" t="s">
        <v>3</v>
      </c>
      <c r="C52" s="8" t="s">
        <v>4</v>
      </c>
      <c r="D52" s="2" t="s">
        <v>6</v>
      </c>
      <c r="E52" s="2"/>
      <c r="F52" s="2" t="s">
        <v>7</v>
      </c>
    </row>
    <row r="53" spans="1:6" x14ac:dyDescent="0.25">
      <c r="A53" s="3" t="s">
        <v>8</v>
      </c>
      <c r="B53" s="4">
        <v>6</v>
      </c>
      <c r="C53" s="5">
        <v>1.5</v>
      </c>
      <c r="D53" s="5">
        <v>5</v>
      </c>
      <c r="E53" s="10"/>
      <c r="F53" s="5">
        <f>B53*C53*D53</f>
        <v>45</v>
      </c>
    </row>
    <row r="54" spans="1:6" x14ac:dyDescent="0.25">
      <c r="A54" s="3"/>
      <c r="B54" s="4"/>
      <c r="C54" s="4"/>
      <c r="D54" s="4"/>
      <c r="E54" s="1"/>
      <c r="F54" s="5">
        <f>B54</f>
        <v>0</v>
      </c>
    </row>
    <row r="55" spans="1:6" x14ac:dyDescent="0.25">
      <c r="A55" s="244" t="s">
        <v>29</v>
      </c>
      <c r="B55" s="244"/>
      <c r="C55" s="244"/>
      <c r="D55" s="244"/>
      <c r="E55" s="244"/>
      <c r="F55" s="6">
        <f>SUM(F53:F54)</f>
        <v>45</v>
      </c>
    </row>
    <row r="56" spans="1:6" x14ac:dyDescent="0.25">
      <c r="A56" s="7"/>
      <c r="B56" s="7"/>
      <c r="C56" s="7"/>
      <c r="D56" s="7"/>
      <c r="E56" s="7"/>
      <c r="F56" s="7"/>
    </row>
    <row r="57" spans="1:6" x14ac:dyDescent="0.25">
      <c r="A57" s="244" t="s">
        <v>31</v>
      </c>
      <c r="B57" s="244"/>
      <c r="C57" s="244"/>
      <c r="D57" s="244"/>
      <c r="E57" s="244"/>
      <c r="F57" s="244"/>
    </row>
    <row r="58" spans="1:6" x14ac:dyDescent="0.25">
      <c r="A58" s="2" t="s">
        <v>2</v>
      </c>
      <c r="B58" s="2" t="s">
        <v>3</v>
      </c>
      <c r="C58" s="8" t="s">
        <v>4</v>
      </c>
      <c r="D58" s="2" t="s">
        <v>6</v>
      </c>
      <c r="E58" s="2"/>
      <c r="F58" s="2" t="s">
        <v>7</v>
      </c>
    </row>
    <row r="59" spans="1:6" x14ac:dyDescent="0.25">
      <c r="A59" s="3" t="s">
        <v>8</v>
      </c>
      <c r="B59" s="4">
        <v>6</v>
      </c>
      <c r="C59" s="5">
        <v>1.5</v>
      </c>
      <c r="D59" s="5">
        <v>5</v>
      </c>
      <c r="E59" s="10"/>
      <c r="F59" s="5">
        <f>B59*C59*D59</f>
        <v>45</v>
      </c>
    </row>
    <row r="60" spans="1:6" x14ac:dyDescent="0.25">
      <c r="A60" s="3"/>
      <c r="B60" s="4"/>
      <c r="C60" s="4"/>
      <c r="D60" s="4"/>
      <c r="E60" s="1"/>
      <c r="F60" s="5">
        <f>B60</f>
        <v>0</v>
      </c>
    </row>
    <row r="61" spans="1:6" x14ac:dyDescent="0.25">
      <c r="A61" s="244" t="s">
        <v>29</v>
      </c>
      <c r="B61" s="244"/>
      <c r="C61" s="244"/>
      <c r="D61" s="244"/>
      <c r="E61" s="244"/>
      <c r="F61" s="6">
        <f>SUM(F59:F60)</f>
        <v>45</v>
      </c>
    </row>
    <row r="62" spans="1:6" x14ac:dyDescent="0.25">
      <c r="A62" s="7"/>
      <c r="B62" s="7"/>
      <c r="C62" s="7"/>
      <c r="D62" s="7"/>
      <c r="E62" s="7"/>
      <c r="F62" s="7"/>
    </row>
    <row r="63" spans="1:6" x14ac:dyDescent="0.25">
      <c r="A63" s="244" t="s">
        <v>32</v>
      </c>
      <c r="B63" s="244"/>
      <c r="C63" s="244"/>
      <c r="D63" s="244"/>
      <c r="E63" s="244"/>
      <c r="F63" s="244"/>
    </row>
    <row r="64" spans="1:6" x14ac:dyDescent="0.25">
      <c r="A64" s="2" t="s">
        <v>2</v>
      </c>
      <c r="B64" s="2" t="s">
        <v>33</v>
      </c>
      <c r="C64" s="2" t="s">
        <v>34</v>
      </c>
      <c r="D64" s="2"/>
      <c r="E64" s="2"/>
      <c r="F64" s="2" t="s">
        <v>7</v>
      </c>
    </row>
    <row r="65" spans="1:6" x14ac:dyDescent="0.25">
      <c r="A65" s="3" t="s">
        <v>35</v>
      </c>
      <c r="B65" s="4">
        <f>510*0.05</f>
        <v>25.5</v>
      </c>
      <c r="C65" s="5">
        <v>2.1</v>
      </c>
      <c r="D65" s="5"/>
      <c r="E65" s="10"/>
      <c r="F65" s="5">
        <f>B65*C65</f>
        <v>53.550000000000004</v>
      </c>
    </row>
    <row r="66" spans="1:6" x14ac:dyDescent="0.25">
      <c r="A66" s="3" t="s">
        <v>36</v>
      </c>
      <c r="B66" s="5">
        <f>0.675*0.365*0.4*7</f>
        <v>0.68985000000000007</v>
      </c>
      <c r="C66" s="5">
        <v>1.5</v>
      </c>
      <c r="D66" s="5"/>
      <c r="E66" s="10"/>
      <c r="F66" s="5">
        <f>B66*C66</f>
        <v>1.0347750000000002</v>
      </c>
    </row>
    <row r="67" spans="1:6" x14ac:dyDescent="0.25">
      <c r="A67" s="3" t="s">
        <v>37</v>
      </c>
      <c r="B67" s="4">
        <f>1.1*1*0.7*3</f>
        <v>2.31</v>
      </c>
      <c r="C67" s="5">
        <v>1.5</v>
      </c>
      <c r="D67" s="5"/>
      <c r="E67" s="10"/>
      <c r="F67" s="5">
        <f>B67*C67</f>
        <v>3.4649999999999999</v>
      </c>
    </row>
    <row r="68" spans="1:6" x14ac:dyDescent="0.25">
      <c r="A68" s="3" t="s">
        <v>38</v>
      </c>
      <c r="B68" s="5">
        <f>15*2*0.03</f>
        <v>0.89999999999999991</v>
      </c>
      <c r="C68" s="5">
        <v>1.5</v>
      </c>
      <c r="D68" s="4"/>
      <c r="E68" s="1"/>
      <c r="F68" s="5">
        <f>B68*C68</f>
        <v>1.3499999999999999</v>
      </c>
    </row>
    <row r="69" spans="1:6" x14ac:dyDescent="0.25">
      <c r="A69" s="244" t="s">
        <v>39</v>
      </c>
      <c r="B69" s="244"/>
      <c r="C69" s="244"/>
      <c r="D69" s="244"/>
      <c r="E69" s="244"/>
      <c r="F69" s="6">
        <f>SUM(F65:F68)</f>
        <v>59.399775000000012</v>
      </c>
    </row>
    <row r="70" spans="1:6" x14ac:dyDescent="0.25">
      <c r="A70" s="7"/>
      <c r="B70" s="7"/>
      <c r="C70" s="7"/>
      <c r="D70" s="7"/>
      <c r="E70" s="7"/>
      <c r="F70" s="7"/>
    </row>
    <row r="71" spans="1:6" x14ac:dyDescent="0.25">
      <c r="A71" s="244" t="s">
        <v>40</v>
      </c>
      <c r="B71" s="244"/>
      <c r="C71" s="244"/>
      <c r="D71" s="244"/>
      <c r="E71" s="244"/>
      <c r="F71" s="244"/>
    </row>
    <row r="72" spans="1:6" x14ac:dyDescent="0.25">
      <c r="A72" s="2" t="s">
        <v>2</v>
      </c>
      <c r="B72" s="2" t="s">
        <v>3</v>
      </c>
      <c r="C72" s="8" t="s">
        <v>4</v>
      </c>
      <c r="D72" s="2" t="s">
        <v>6</v>
      </c>
      <c r="E72" s="2"/>
      <c r="F72" s="2" t="s">
        <v>7</v>
      </c>
    </row>
    <row r="73" spans="1:6" x14ac:dyDescent="0.25">
      <c r="A73" s="3" t="s">
        <v>8</v>
      </c>
      <c r="B73" s="4">
        <v>1</v>
      </c>
      <c r="C73" s="5">
        <v>100</v>
      </c>
      <c r="D73" s="5">
        <v>1.2</v>
      </c>
      <c r="E73" s="10"/>
      <c r="F73" s="5">
        <f>B73*C73*D73</f>
        <v>120</v>
      </c>
    </row>
    <row r="74" spans="1:6" x14ac:dyDescent="0.25">
      <c r="A74" s="3"/>
      <c r="B74" s="4"/>
      <c r="C74" s="4"/>
      <c r="D74" s="4"/>
      <c r="E74" s="1"/>
      <c r="F74" s="5">
        <f>B74</f>
        <v>0</v>
      </c>
    </row>
    <row r="75" spans="1:6" x14ac:dyDescent="0.25">
      <c r="A75" s="244" t="s">
        <v>29</v>
      </c>
      <c r="B75" s="244"/>
      <c r="C75" s="244"/>
      <c r="D75" s="244"/>
      <c r="E75" s="244"/>
      <c r="F75" s="6">
        <f>SUM(F73:F74)</f>
        <v>120</v>
      </c>
    </row>
    <row r="76" spans="1:6" x14ac:dyDescent="0.25">
      <c r="A76" s="7"/>
      <c r="B76" s="7"/>
      <c r="C76" s="7"/>
      <c r="D76" s="7"/>
      <c r="E76" s="7"/>
      <c r="F76" s="7"/>
    </row>
    <row r="77" spans="1:6" x14ac:dyDescent="0.25">
      <c r="A77" s="249" t="s">
        <v>41</v>
      </c>
      <c r="B77" s="249"/>
      <c r="C77" s="249"/>
      <c r="D77" s="249"/>
      <c r="E77" s="249"/>
      <c r="F77" s="249"/>
    </row>
    <row r="78" spans="1:6" x14ac:dyDescent="0.25">
      <c r="A78" s="2" t="s">
        <v>2</v>
      </c>
      <c r="B78" s="2" t="s">
        <v>3</v>
      </c>
      <c r="C78" s="2" t="s">
        <v>4</v>
      </c>
      <c r="D78" s="2" t="s">
        <v>5</v>
      </c>
      <c r="E78" s="2" t="s">
        <v>6</v>
      </c>
      <c r="F78" s="2" t="s">
        <v>7</v>
      </c>
    </row>
    <row r="79" spans="1:6" x14ac:dyDescent="0.25">
      <c r="A79" s="3" t="s">
        <v>42</v>
      </c>
      <c r="B79" s="4">
        <v>1</v>
      </c>
      <c r="C79" s="5">
        <v>1.2</v>
      </c>
      <c r="D79" s="4">
        <v>0.15</v>
      </c>
      <c r="E79" s="5">
        <v>2.1</v>
      </c>
      <c r="F79" s="5">
        <f>B79*C79*D79*E79</f>
        <v>0.378</v>
      </c>
    </row>
    <row r="80" spans="1:6" x14ac:dyDescent="0.25">
      <c r="A80" s="3" t="s">
        <v>42</v>
      </c>
      <c r="B80" s="4">
        <v>1</v>
      </c>
      <c r="C80" s="5">
        <v>3.78</v>
      </c>
      <c r="D80" s="4">
        <v>0.15</v>
      </c>
      <c r="E80" s="4">
        <v>4.16</v>
      </c>
      <c r="F80" s="5">
        <f t="shared" ref="F80:F88" si="0">B80*C80</f>
        <v>3.78</v>
      </c>
    </row>
    <row r="81" spans="1:6" x14ac:dyDescent="0.25">
      <c r="A81" s="3" t="s">
        <v>42</v>
      </c>
      <c r="B81" s="4">
        <v>1</v>
      </c>
      <c r="C81" s="5">
        <v>3.78</v>
      </c>
      <c r="D81" s="4">
        <v>0.15</v>
      </c>
      <c r="E81" s="5">
        <v>2.4</v>
      </c>
      <c r="F81" s="5">
        <f t="shared" si="0"/>
        <v>3.78</v>
      </c>
    </row>
    <row r="82" spans="1:6" x14ac:dyDescent="0.25">
      <c r="A82" s="3" t="s">
        <v>43</v>
      </c>
      <c r="B82" s="4">
        <v>1</v>
      </c>
      <c r="C82" s="5">
        <f>2.15+0.15+1.2</f>
        <v>3.5</v>
      </c>
      <c r="D82" s="4">
        <v>0.15</v>
      </c>
      <c r="E82" s="4">
        <v>4.16</v>
      </c>
      <c r="F82" s="5">
        <f t="shared" si="0"/>
        <v>3.5</v>
      </c>
    </row>
    <row r="83" spans="1:6" x14ac:dyDescent="0.25">
      <c r="A83" s="3" t="s">
        <v>44</v>
      </c>
      <c r="B83" s="4">
        <v>1</v>
      </c>
      <c r="C83" s="5">
        <f>2+0.7+0.1</f>
        <v>2.8000000000000003</v>
      </c>
      <c r="D83" s="4">
        <v>0.15</v>
      </c>
      <c r="E83" s="4">
        <v>4.16</v>
      </c>
      <c r="F83" s="5">
        <f t="shared" si="0"/>
        <v>2.8000000000000003</v>
      </c>
    </row>
    <row r="84" spans="1:6" x14ac:dyDescent="0.25">
      <c r="A84" s="3" t="s">
        <v>45</v>
      </c>
      <c r="B84" s="4">
        <v>6</v>
      </c>
      <c r="C84" s="5">
        <v>1.5</v>
      </c>
      <c r="D84" s="4">
        <v>0.15</v>
      </c>
      <c r="E84" s="5">
        <v>2.2000000000000002</v>
      </c>
      <c r="F84" s="5">
        <f t="shared" si="0"/>
        <v>9</v>
      </c>
    </row>
    <row r="85" spans="1:6" x14ac:dyDescent="0.25">
      <c r="A85" s="3" t="s">
        <v>45</v>
      </c>
      <c r="B85" s="4">
        <v>2</v>
      </c>
      <c r="C85" s="5">
        <v>1</v>
      </c>
      <c r="D85" s="4">
        <v>0.15</v>
      </c>
      <c r="E85" s="5">
        <v>2.2000000000000002</v>
      </c>
      <c r="F85" s="5">
        <f t="shared" si="0"/>
        <v>2</v>
      </c>
    </row>
    <row r="86" spans="1:6" x14ac:dyDescent="0.25">
      <c r="A86" s="3" t="s">
        <v>45</v>
      </c>
      <c r="B86" s="4">
        <v>2</v>
      </c>
      <c r="C86" s="5">
        <v>0.5</v>
      </c>
      <c r="D86" s="4">
        <v>0.15</v>
      </c>
      <c r="E86" s="5">
        <v>2.2000000000000002</v>
      </c>
      <c r="F86" s="5">
        <f t="shared" si="0"/>
        <v>1</v>
      </c>
    </row>
    <row r="87" spans="1:6" x14ac:dyDescent="0.25">
      <c r="A87" s="3" t="s">
        <v>45</v>
      </c>
      <c r="B87" s="4">
        <v>2</v>
      </c>
      <c r="C87" s="4">
        <f>0.2+0.3+0.3+0.65</f>
        <v>1.4500000000000002</v>
      </c>
      <c r="D87" s="4">
        <v>0.15</v>
      </c>
      <c r="E87" s="5">
        <v>2.2000000000000002</v>
      </c>
      <c r="F87" s="5">
        <f t="shared" si="0"/>
        <v>2.9000000000000004</v>
      </c>
    </row>
    <row r="88" spans="1:6" x14ac:dyDescent="0.25">
      <c r="A88" s="3"/>
      <c r="B88" s="4"/>
      <c r="C88" s="4"/>
      <c r="D88" s="4"/>
      <c r="E88" s="1"/>
      <c r="F88" s="5">
        <f t="shared" si="0"/>
        <v>0</v>
      </c>
    </row>
    <row r="89" spans="1:6" x14ac:dyDescent="0.25">
      <c r="A89" s="251" t="s">
        <v>46</v>
      </c>
      <c r="B89" s="251"/>
      <c r="C89" s="251"/>
      <c r="D89" s="251"/>
      <c r="E89" s="251"/>
      <c r="F89" s="6">
        <f>SUM(F79:F88)</f>
        <v>29.137999999999998</v>
      </c>
    </row>
    <row r="90" spans="1:6" x14ac:dyDescent="0.25">
      <c r="A90" s="11"/>
      <c r="B90" s="11"/>
      <c r="C90" s="11"/>
      <c r="D90" s="11"/>
      <c r="E90" s="11"/>
      <c r="F90" s="11"/>
    </row>
    <row r="91" spans="1:6" x14ac:dyDescent="0.25">
      <c r="A91" s="244" t="s">
        <v>47</v>
      </c>
      <c r="B91" s="244"/>
      <c r="C91" s="244"/>
      <c r="D91" s="244"/>
      <c r="E91" s="244"/>
      <c r="F91" s="244"/>
    </row>
    <row r="92" spans="1:6" x14ac:dyDescent="0.25">
      <c r="A92" s="2" t="s">
        <v>2</v>
      </c>
      <c r="B92" s="2" t="s">
        <v>3</v>
      </c>
      <c r="C92" s="2" t="s">
        <v>4</v>
      </c>
      <c r="D92" s="2" t="s">
        <v>5</v>
      </c>
      <c r="E92" s="2" t="s">
        <v>6</v>
      </c>
      <c r="F92" s="2" t="s">
        <v>7</v>
      </c>
    </row>
    <row r="93" spans="1:6" x14ac:dyDescent="0.25">
      <c r="A93" s="3" t="s">
        <v>48</v>
      </c>
      <c r="B93" s="12">
        <v>2</v>
      </c>
      <c r="C93" s="13">
        <v>3.5</v>
      </c>
      <c r="D93" s="12"/>
      <c r="E93" s="13">
        <v>2.4</v>
      </c>
      <c r="F93" s="13">
        <f t="shared" ref="F93:F98" si="1">B93*C93*E93</f>
        <v>16.8</v>
      </c>
    </row>
    <row r="94" spans="1:6" x14ac:dyDescent="0.25">
      <c r="A94" s="3" t="s">
        <v>48</v>
      </c>
      <c r="B94" s="12">
        <v>2</v>
      </c>
      <c r="C94" s="13">
        <f>4.4+0.15+1.05</f>
        <v>5.6000000000000005</v>
      </c>
      <c r="D94" s="12"/>
      <c r="E94" s="13">
        <v>2.4</v>
      </c>
      <c r="F94" s="13">
        <f t="shared" si="1"/>
        <v>26.880000000000003</v>
      </c>
    </row>
    <row r="95" spans="1:6" x14ac:dyDescent="0.25">
      <c r="A95" s="3" t="s">
        <v>48</v>
      </c>
      <c r="B95" s="12">
        <v>2</v>
      </c>
      <c r="C95" s="13">
        <v>1.8</v>
      </c>
      <c r="D95" s="12"/>
      <c r="E95" s="13">
        <v>2.4</v>
      </c>
      <c r="F95" s="13">
        <f t="shared" si="1"/>
        <v>8.64</v>
      </c>
    </row>
    <row r="96" spans="1:6" x14ac:dyDescent="0.25">
      <c r="A96" s="3" t="s">
        <v>49</v>
      </c>
      <c r="B96" s="12">
        <v>2</v>
      </c>
      <c r="C96" s="13">
        <v>3.5</v>
      </c>
      <c r="D96" s="12"/>
      <c r="E96" s="13">
        <v>2.4</v>
      </c>
      <c r="F96" s="13">
        <f t="shared" si="1"/>
        <v>16.8</v>
      </c>
    </row>
    <row r="97" spans="1:7" x14ac:dyDescent="0.25">
      <c r="A97" s="3" t="s">
        <v>49</v>
      </c>
      <c r="B97" s="12">
        <v>2</v>
      </c>
      <c r="C97" s="13">
        <f>4.4+0.15+1.05</f>
        <v>5.6000000000000005</v>
      </c>
      <c r="D97" s="12"/>
      <c r="E97" s="13">
        <v>2.4</v>
      </c>
      <c r="F97" s="13">
        <f t="shared" si="1"/>
        <v>26.880000000000003</v>
      </c>
    </row>
    <row r="98" spans="1:7" x14ac:dyDescent="0.25">
      <c r="A98" s="3" t="s">
        <v>49</v>
      </c>
      <c r="B98" s="12">
        <v>2</v>
      </c>
      <c r="C98" s="13">
        <v>1.8</v>
      </c>
      <c r="D98" s="12"/>
      <c r="E98" s="13">
        <v>2.4</v>
      </c>
      <c r="F98" s="13">
        <f t="shared" si="1"/>
        <v>8.64</v>
      </c>
    </row>
    <row r="99" spans="1:7" x14ac:dyDescent="0.25">
      <c r="A99" s="12"/>
      <c r="B99" s="12"/>
      <c r="C99" s="12"/>
      <c r="D99" s="12"/>
      <c r="E99" s="12"/>
      <c r="F99" s="12"/>
    </row>
    <row r="100" spans="1:7" x14ac:dyDescent="0.25">
      <c r="A100" s="244" t="s">
        <v>50</v>
      </c>
      <c r="B100" s="244"/>
      <c r="C100" s="244"/>
      <c r="D100" s="244"/>
      <c r="E100" s="244"/>
      <c r="F100" s="14">
        <f>SUM(F93:F99)</f>
        <v>104.64</v>
      </c>
    </row>
    <row r="101" spans="1:7" x14ac:dyDescent="0.25">
      <c r="A101" s="252"/>
      <c r="B101" s="252"/>
      <c r="C101" s="252"/>
      <c r="D101" s="252"/>
      <c r="E101" s="252"/>
      <c r="F101" s="252"/>
    </row>
    <row r="102" spans="1:7" x14ac:dyDescent="0.25">
      <c r="A102" s="244" t="s">
        <v>51</v>
      </c>
      <c r="B102" s="244"/>
      <c r="C102" s="244"/>
      <c r="D102" s="244"/>
      <c r="E102" s="244"/>
      <c r="F102" s="244"/>
      <c r="G102" s="15"/>
    </row>
    <row r="103" spans="1:7" x14ac:dyDescent="0.25">
      <c r="A103" s="2" t="s">
        <v>2</v>
      </c>
      <c r="B103" s="2" t="s">
        <v>3</v>
      </c>
      <c r="C103" s="2" t="s">
        <v>4</v>
      </c>
      <c r="D103" s="2" t="s">
        <v>5</v>
      </c>
      <c r="E103" s="2" t="s">
        <v>6</v>
      </c>
      <c r="F103" s="2" t="s">
        <v>7</v>
      </c>
    </row>
    <row r="104" spans="1:7" x14ac:dyDescent="0.25">
      <c r="A104" s="3" t="s">
        <v>48</v>
      </c>
      <c r="B104" s="12">
        <v>2</v>
      </c>
      <c r="C104" s="13">
        <v>3.5</v>
      </c>
      <c r="D104" s="12"/>
      <c r="E104" s="13">
        <v>2.4</v>
      </c>
      <c r="F104" s="13">
        <f t="shared" ref="F104:F109" si="2">B104*C104*E104</f>
        <v>16.8</v>
      </c>
    </row>
    <row r="105" spans="1:7" x14ac:dyDescent="0.25">
      <c r="A105" s="3" t="s">
        <v>48</v>
      </c>
      <c r="B105" s="12">
        <v>2</v>
      </c>
      <c r="C105" s="13">
        <f>4.4+0.15+1.05</f>
        <v>5.6000000000000005</v>
      </c>
      <c r="D105" s="12"/>
      <c r="E105" s="13">
        <v>2.4</v>
      </c>
      <c r="F105" s="13">
        <f t="shared" si="2"/>
        <v>26.880000000000003</v>
      </c>
    </row>
    <row r="106" spans="1:7" x14ac:dyDescent="0.25">
      <c r="A106" s="3" t="s">
        <v>48</v>
      </c>
      <c r="B106" s="12">
        <v>2</v>
      </c>
      <c r="C106" s="13">
        <v>1.8</v>
      </c>
      <c r="D106" s="12"/>
      <c r="E106" s="13">
        <v>2.4</v>
      </c>
      <c r="F106" s="13">
        <f t="shared" si="2"/>
        <v>8.64</v>
      </c>
    </row>
    <row r="107" spans="1:7" x14ac:dyDescent="0.25">
      <c r="A107" s="3" t="s">
        <v>49</v>
      </c>
      <c r="B107" s="12">
        <v>2</v>
      </c>
      <c r="C107" s="13">
        <v>3.5</v>
      </c>
      <c r="D107" s="12"/>
      <c r="E107" s="13">
        <v>2.4</v>
      </c>
      <c r="F107" s="13">
        <f t="shared" si="2"/>
        <v>16.8</v>
      </c>
    </row>
    <row r="108" spans="1:7" x14ac:dyDescent="0.25">
      <c r="A108" s="3" t="s">
        <v>49</v>
      </c>
      <c r="B108" s="12">
        <v>2</v>
      </c>
      <c r="C108" s="13">
        <f>4.4+0.15+1.05</f>
        <v>5.6000000000000005</v>
      </c>
      <c r="D108" s="12"/>
      <c r="E108" s="13">
        <v>2.4</v>
      </c>
      <c r="F108" s="13">
        <f t="shared" si="2"/>
        <v>26.880000000000003</v>
      </c>
    </row>
    <row r="109" spans="1:7" x14ac:dyDescent="0.25">
      <c r="A109" s="3" t="s">
        <v>49</v>
      </c>
      <c r="B109" s="12">
        <v>2</v>
      </c>
      <c r="C109" s="13">
        <v>1.8</v>
      </c>
      <c r="D109" s="12"/>
      <c r="E109" s="13">
        <v>2.4</v>
      </c>
      <c r="F109" s="13">
        <f t="shared" si="2"/>
        <v>8.64</v>
      </c>
    </row>
    <row r="110" spans="1:7" x14ac:dyDescent="0.25">
      <c r="A110" s="16"/>
      <c r="B110" s="12"/>
      <c r="C110" s="12"/>
      <c r="D110" s="12"/>
      <c r="E110" s="12"/>
      <c r="F110" s="12"/>
    </row>
    <row r="111" spans="1:7" x14ac:dyDescent="0.25">
      <c r="A111" s="244" t="s">
        <v>50</v>
      </c>
      <c r="B111" s="244"/>
      <c r="C111" s="244"/>
      <c r="D111" s="244"/>
      <c r="E111" s="244"/>
      <c r="F111" s="14">
        <f>SUM(F104:F110)</f>
        <v>104.64</v>
      </c>
    </row>
    <row r="112" spans="1:7" x14ac:dyDescent="0.25">
      <c r="A112" s="17"/>
      <c r="B112" s="17"/>
      <c r="C112" s="17"/>
      <c r="D112" s="17"/>
      <c r="E112" s="17"/>
      <c r="F112" s="17"/>
    </row>
    <row r="113" spans="1:6" x14ac:dyDescent="0.25">
      <c r="A113" s="244" t="s">
        <v>52</v>
      </c>
      <c r="B113" s="244"/>
      <c r="C113" s="244"/>
      <c r="D113" s="244"/>
      <c r="E113" s="244"/>
      <c r="F113" s="244"/>
    </row>
    <row r="114" spans="1:6" x14ac:dyDescent="0.25">
      <c r="A114" s="2" t="s">
        <v>2</v>
      </c>
      <c r="B114" s="2" t="s">
        <v>3</v>
      </c>
      <c r="C114" s="2" t="s">
        <v>4</v>
      </c>
      <c r="D114" s="2" t="s">
        <v>5</v>
      </c>
      <c r="E114" s="2" t="s">
        <v>53</v>
      </c>
      <c r="F114" s="2" t="s">
        <v>7</v>
      </c>
    </row>
    <row r="115" spans="1:6" x14ac:dyDescent="0.25">
      <c r="A115" s="16" t="s">
        <v>54</v>
      </c>
      <c r="B115" s="12">
        <v>1</v>
      </c>
      <c r="C115" s="12">
        <v>5.75</v>
      </c>
      <c r="D115" s="13">
        <v>3.5</v>
      </c>
      <c r="E115" s="13"/>
      <c r="F115" s="13">
        <f>B115*C115*D115</f>
        <v>20.125</v>
      </c>
    </row>
    <row r="116" spans="1:6" x14ac:dyDescent="0.25">
      <c r="A116" s="16" t="s">
        <v>55</v>
      </c>
      <c r="B116" s="12">
        <v>1</v>
      </c>
      <c r="C116" s="13">
        <f>4.4+0.15+1.05</f>
        <v>5.6000000000000005</v>
      </c>
      <c r="D116" s="13">
        <v>3.5</v>
      </c>
      <c r="E116" s="13"/>
      <c r="F116" s="13">
        <f>B116*C116*D116</f>
        <v>19.600000000000001</v>
      </c>
    </row>
    <row r="117" spans="1:6" x14ac:dyDescent="0.25">
      <c r="A117" s="16" t="s">
        <v>56</v>
      </c>
      <c r="B117" s="12">
        <v>1</v>
      </c>
      <c r="C117" s="13">
        <f>4.4+0.15+1.05</f>
        <v>5.6000000000000005</v>
      </c>
      <c r="D117" s="13">
        <v>3.5</v>
      </c>
      <c r="E117" s="13"/>
      <c r="F117" s="13">
        <f>B117*C117*D117</f>
        <v>19.600000000000001</v>
      </c>
    </row>
    <row r="118" spans="1:6" x14ac:dyDescent="0.25">
      <c r="A118" s="16" t="s">
        <v>57</v>
      </c>
      <c r="B118" s="12"/>
      <c r="C118" s="12"/>
      <c r="D118" s="13"/>
      <c r="E118" s="13"/>
      <c r="F118" s="12">
        <v>34.229999999999997</v>
      </c>
    </row>
    <row r="119" spans="1:6" x14ac:dyDescent="0.25">
      <c r="A119" s="16" t="s">
        <v>58</v>
      </c>
      <c r="B119" s="12">
        <v>4</v>
      </c>
      <c r="C119" s="12">
        <f>5.75+0.15+0.15</f>
        <v>6.0500000000000007</v>
      </c>
      <c r="D119" s="13">
        <v>3.5</v>
      </c>
      <c r="E119" s="13">
        <v>0.1</v>
      </c>
      <c r="F119" s="13">
        <f>B119*C119*D119*E119</f>
        <v>8.4700000000000024</v>
      </c>
    </row>
    <row r="120" spans="1:6" x14ac:dyDescent="0.25">
      <c r="A120" s="16" t="s">
        <v>58</v>
      </c>
      <c r="B120" s="12">
        <v>1</v>
      </c>
      <c r="C120" s="13">
        <v>30.5</v>
      </c>
      <c r="D120" s="13">
        <v>5.55</v>
      </c>
      <c r="E120" s="13">
        <v>0.1</v>
      </c>
      <c r="F120" s="13">
        <f>B120*C120*D120*E120</f>
        <v>16.927500000000002</v>
      </c>
    </row>
    <row r="121" spans="1:6" x14ac:dyDescent="0.25">
      <c r="A121" s="16" t="s">
        <v>59</v>
      </c>
      <c r="B121" s="12">
        <v>1</v>
      </c>
      <c r="C121" s="18">
        <v>238</v>
      </c>
      <c r="D121" s="18"/>
      <c r="E121" s="13">
        <v>0.1</v>
      </c>
      <c r="F121" s="18">
        <f>B121*C121*E121</f>
        <v>23.8</v>
      </c>
    </row>
    <row r="122" spans="1:6" x14ac:dyDescent="0.25">
      <c r="A122" s="3" t="s">
        <v>60</v>
      </c>
      <c r="B122" s="19">
        <v>1</v>
      </c>
      <c r="C122" s="2"/>
      <c r="D122" s="2"/>
      <c r="E122" s="2"/>
      <c r="F122" s="13">
        <v>5.6</v>
      </c>
    </row>
    <row r="123" spans="1:6" x14ac:dyDescent="0.25">
      <c r="A123" s="244" t="s">
        <v>50</v>
      </c>
      <c r="B123" s="244"/>
      <c r="C123" s="244"/>
      <c r="D123" s="244"/>
      <c r="E123" s="244"/>
      <c r="F123" s="20">
        <f>SUM(F115:F122)</f>
        <v>148.35250000000002</v>
      </c>
    </row>
    <row r="124" spans="1:6" x14ac:dyDescent="0.25">
      <c r="A124" s="17"/>
      <c r="B124" s="17"/>
      <c r="C124" s="17"/>
      <c r="D124" s="17"/>
      <c r="E124" s="17"/>
      <c r="F124" s="17"/>
    </row>
    <row r="125" spans="1:6" x14ac:dyDescent="0.25">
      <c r="A125" s="244" t="s">
        <v>61</v>
      </c>
      <c r="B125" s="244"/>
      <c r="C125" s="244"/>
      <c r="D125" s="244"/>
      <c r="E125" s="244"/>
      <c r="F125" s="244"/>
    </row>
    <row r="126" spans="1:6" x14ac:dyDescent="0.25">
      <c r="A126" s="2" t="s">
        <v>2</v>
      </c>
      <c r="B126" s="245" t="s">
        <v>3</v>
      </c>
      <c r="C126" s="245"/>
      <c r="D126" s="245"/>
      <c r="E126" s="245"/>
      <c r="F126" s="2" t="s">
        <v>7</v>
      </c>
    </row>
    <row r="127" spans="1:6" x14ac:dyDescent="0.25">
      <c r="A127" s="3" t="s">
        <v>55</v>
      </c>
      <c r="B127" s="245" t="s">
        <v>62</v>
      </c>
      <c r="C127" s="245"/>
      <c r="D127" s="245"/>
      <c r="E127" s="245"/>
      <c r="F127" s="21">
        <v>3</v>
      </c>
    </row>
    <row r="128" spans="1:6" x14ac:dyDescent="0.25">
      <c r="A128" s="3" t="s">
        <v>56</v>
      </c>
      <c r="B128" s="245" t="s">
        <v>62</v>
      </c>
      <c r="C128" s="245"/>
      <c r="D128" s="245"/>
      <c r="E128" s="245"/>
      <c r="F128" s="21">
        <v>3</v>
      </c>
    </row>
    <row r="129" spans="1:6" x14ac:dyDescent="0.25">
      <c r="A129" s="3" t="s">
        <v>63</v>
      </c>
      <c r="B129" s="245" t="s">
        <v>64</v>
      </c>
      <c r="C129" s="245"/>
      <c r="D129" s="245"/>
      <c r="E129" s="245"/>
      <c r="F129" s="21">
        <v>1</v>
      </c>
    </row>
    <row r="130" spans="1:6" x14ac:dyDescent="0.25">
      <c r="A130" s="3" t="s">
        <v>65</v>
      </c>
      <c r="B130" s="245" t="s">
        <v>62</v>
      </c>
      <c r="C130" s="245"/>
      <c r="D130" s="245"/>
      <c r="E130" s="245"/>
      <c r="F130" s="21">
        <v>1</v>
      </c>
    </row>
    <row r="131" spans="1:6" x14ac:dyDescent="0.25">
      <c r="A131" s="244" t="s">
        <v>66</v>
      </c>
      <c r="B131" s="244"/>
      <c r="C131" s="244"/>
      <c r="D131" s="244"/>
      <c r="E131" s="244"/>
      <c r="F131" s="20">
        <f>SUM(F127:F130)</f>
        <v>8</v>
      </c>
    </row>
    <row r="132" spans="1:6" x14ac:dyDescent="0.25">
      <c r="A132" s="17"/>
      <c r="B132" s="17"/>
      <c r="C132" s="17"/>
      <c r="D132" s="17"/>
      <c r="E132" s="17"/>
      <c r="F132" s="17"/>
    </row>
    <row r="133" spans="1:6" x14ac:dyDescent="0.25">
      <c r="A133" s="244" t="s">
        <v>67</v>
      </c>
      <c r="B133" s="244"/>
      <c r="C133" s="244"/>
      <c r="D133" s="244"/>
      <c r="E133" s="244"/>
      <c r="F133" s="244"/>
    </row>
    <row r="134" spans="1:6" x14ac:dyDescent="0.25">
      <c r="A134" s="2" t="s">
        <v>2</v>
      </c>
      <c r="B134" s="245" t="s">
        <v>21</v>
      </c>
      <c r="C134" s="245"/>
      <c r="D134" s="245"/>
      <c r="E134" s="245"/>
      <c r="F134" s="2" t="s">
        <v>7</v>
      </c>
    </row>
    <row r="135" spans="1:6" x14ac:dyDescent="0.25">
      <c r="A135" s="3" t="s">
        <v>55</v>
      </c>
      <c r="B135" s="245" t="s">
        <v>68</v>
      </c>
      <c r="C135" s="245"/>
      <c r="D135" s="245"/>
      <c r="E135" s="245"/>
      <c r="F135" s="22">
        <v>3</v>
      </c>
    </row>
    <row r="136" spans="1:6" x14ac:dyDescent="0.25">
      <c r="A136" s="3" t="s">
        <v>56</v>
      </c>
      <c r="B136" s="245" t="s">
        <v>68</v>
      </c>
      <c r="C136" s="245"/>
      <c r="D136" s="245"/>
      <c r="E136" s="245"/>
      <c r="F136" s="22">
        <v>3</v>
      </c>
    </row>
    <row r="137" spans="1:6" x14ac:dyDescent="0.25">
      <c r="A137" s="3"/>
      <c r="B137" s="245"/>
      <c r="C137" s="245"/>
      <c r="D137" s="245"/>
      <c r="E137" s="245"/>
      <c r="F137" s="23"/>
    </row>
    <row r="138" spans="1:6" x14ac:dyDescent="0.25">
      <c r="A138" s="3"/>
      <c r="B138" s="245"/>
      <c r="C138" s="245"/>
      <c r="D138" s="245"/>
      <c r="E138" s="245"/>
      <c r="F138" s="23"/>
    </row>
    <row r="139" spans="1:6" x14ac:dyDescent="0.25">
      <c r="A139" s="244" t="s">
        <v>9</v>
      </c>
      <c r="B139" s="244"/>
      <c r="C139" s="244"/>
      <c r="D139" s="244"/>
      <c r="E139" s="244"/>
      <c r="F139" s="24">
        <f>SUM(F135:F138)</f>
        <v>6</v>
      </c>
    </row>
    <row r="140" spans="1:6" ht="12" customHeight="1" x14ac:dyDescent="0.25">
      <c r="A140" s="17"/>
      <c r="B140" s="17"/>
      <c r="C140" s="17"/>
      <c r="D140" s="17"/>
      <c r="E140" s="17"/>
      <c r="F140" s="17"/>
    </row>
    <row r="141" spans="1:6" ht="17.25" customHeight="1" x14ac:dyDescent="0.25">
      <c r="A141" s="244" t="s">
        <v>69</v>
      </c>
      <c r="B141" s="244"/>
      <c r="C141" s="244"/>
      <c r="D141" s="244"/>
      <c r="E141" s="244"/>
      <c r="F141" s="244"/>
    </row>
    <row r="142" spans="1:6" ht="18.75" customHeight="1" x14ac:dyDescent="0.25">
      <c r="A142" s="25" t="s">
        <v>2</v>
      </c>
      <c r="B142" s="25" t="s">
        <v>3</v>
      </c>
      <c r="C142" s="25" t="s">
        <v>4</v>
      </c>
      <c r="D142" s="26" t="s">
        <v>5</v>
      </c>
      <c r="E142" s="26" t="s">
        <v>53</v>
      </c>
      <c r="F142" s="25" t="s">
        <v>7</v>
      </c>
    </row>
    <row r="143" spans="1:6" ht="15.75" customHeight="1" x14ac:dyDescent="0.25">
      <c r="A143" s="16" t="s">
        <v>54</v>
      </c>
      <c r="B143" s="12">
        <v>1</v>
      </c>
      <c r="C143" s="12">
        <v>5.75</v>
      </c>
      <c r="D143" s="13">
        <v>3.5</v>
      </c>
      <c r="E143" s="13"/>
      <c r="F143" s="13">
        <f>B143*C143*D143</f>
        <v>20.125</v>
      </c>
    </row>
    <row r="144" spans="1:6" ht="16.5" customHeight="1" x14ac:dyDescent="0.25">
      <c r="A144" s="16" t="s">
        <v>55</v>
      </c>
      <c r="B144" s="12">
        <v>1</v>
      </c>
      <c r="C144" s="13">
        <f>4.4+0.15+1.05</f>
        <v>5.6000000000000005</v>
      </c>
      <c r="D144" s="13">
        <v>3.5</v>
      </c>
      <c r="E144" s="13"/>
      <c r="F144" s="13">
        <f>B144*C144*D144</f>
        <v>19.600000000000001</v>
      </c>
    </row>
    <row r="145" spans="1:6" ht="15.75" customHeight="1" x14ac:dyDescent="0.25">
      <c r="A145" s="16" t="s">
        <v>56</v>
      </c>
      <c r="B145" s="12">
        <v>1</v>
      </c>
      <c r="C145" s="13">
        <f>4.4+0.15+1.05</f>
        <v>5.6000000000000005</v>
      </c>
      <c r="D145" s="13">
        <v>3.5</v>
      </c>
      <c r="E145" s="13"/>
      <c r="F145" s="13">
        <f>B145*C145*D145</f>
        <v>19.600000000000001</v>
      </c>
    </row>
    <row r="146" spans="1:6" ht="15" customHeight="1" x14ac:dyDescent="0.25">
      <c r="A146" s="16" t="s">
        <v>57</v>
      </c>
      <c r="B146" s="12"/>
      <c r="C146" s="12"/>
      <c r="D146" s="13"/>
      <c r="E146" s="13"/>
      <c r="F146" s="12">
        <v>34.229999999999997</v>
      </c>
    </row>
    <row r="147" spans="1:6" ht="15" customHeight="1" x14ac:dyDescent="0.25">
      <c r="A147" s="16" t="s">
        <v>58</v>
      </c>
      <c r="B147" s="12">
        <v>4</v>
      </c>
      <c r="C147" s="12">
        <f>5.75+0.15+0.15</f>
        <v>6.0500000000000007</v>
      </c>
      <c r="D147" s="13">
        <v>3.5</v>
      </c>
      <c r="E147" s="13">
        <v>0.1</v>
      </c>
      <c r="F147" s="13">
        <f>B147*C147*D147*E147</f>
        <v>8.4700000000000024</v>
      </c>
    </row>
    <row r="148" spans="1:6" ht="15" customHeight="1" x14ac:dyDescent="0.25">
      <c r="A148" s="16" t="s">
        <v>58</v>
      </c>
      <c r="B148" s="12">
        <v>1</v>
      </c>
      <c r="C148" s="13">
        <v>30.5</v>
      </c>
      <c r="D148" s="13">
        <v>5.55</v>
      </c>
      <c r="E148" s="13">
        <v>0.1</v>
      </c>
      <c r="F148" s="13">
        <f>B148*C148*D148*E148</f>
        <v>16.927500000000002</v>
      </c>
    </row>
    <row r="149" spans="1:6" ht="15" customHeight="1" x14ac:dyDescent="0.25">
      <c r="A149" s="16" t="s">
        <v>59</v>
      </c>
      <c r="B149" s="12">
        <v>1</v>
      </c>
      <c r="C149" s="18">
        <v>238</v>
      </c>
      <c r="D149" s="18"/>
      <c r="E149" s="13">
        <v>0.1</v>
      </c>
      <c r="F149" s="18">
        <f>B149*C149*E149</f>
        <v>23.8</v>
      </c>
    </row>
    <row r="150" spans="1:6" ht="16.5" customHeight="1" x14ac:dyDescent="0.25">
      <c r="A150" s="3" t="s">
        <v>60</v>
      </c>
      <c r="B150" s="19">
        <v>1</v>
      </c>
      <c r="C150" s="2"/>
      <c r="D150" s="2"/>
      <c r="E150" s="2"/>
      <c r="F150" s="13">
        <v>5.6</v>
      </c>
    </row>
    <row r="151" spans="1:6" x14ac:dyDescent="0.25">
      <c r="A151" s="244" t="s">
        <v>70</v>
      </c>
      <c r="B151" s="244"/>
      <c r="C151" s="244"/>
      <c r="D151" s="244"/>
      <c r="E151" s="244"/>
      <c r="F151" s="20">
        <f>SUM(F143:F150)</f>
        <v>148.35250000000002</v>
      </c>
    </row>
    <row r="152" spans="1:6" x14ac:dyDescent="0.25">
      <c r="A152" s="27"/>
      <c r="B152" s="28"/>
      <c r="C152" s="28"/>
      <c r="D152" s="28"/>
      <c r="E152" s="28"/>
      <c r="F152" s="29"/>
    </row>
    <row r="153" spans="1:6" x14ac:dyDescent="0.25">
      <c r="A153" s="244" t="s">
        <v>71</v>
      </c>
      <c r="B153" s="244"/>
      <c r="C153" s="244"/>
      <c r="D153" s="244"/>
      <c r="E153" s="244"/>
      <c r="F153" s="244"/>
    </row>
    <row r="154" spans="1:6" x14ac:dyDescent="0.25">
      <c r="A154" s="2" t="s">
        <v>2</v>
      </c>
      <c r="B154" s="2" t="s">
        <v>3</v>
      </c>
      <c r="C154" s="2" t="s">
        <v>4</v>
      </c>
      <c r="D154" s="2" t="s">
        <v>5</v>
      </c>
      <c r="E154" s="2" t="s">
        <v>6</v>
      </c>
      <c r="F154" s="2" t="s">
        <v>7</v>
      </c>
    </row>
    <row r="155" spans="1:6" x14ac:dyDescent="0.25">
      <c r="A155" s="3" t="s">
        <v>48</v>
      </c>
      <c r="B155" s="12">
        <v>2</v>
      </c>
      <c r="C155" s="13">
        <v>3.5</v>
      </c>
      <c r="D155" s="12"/>
      <c r="E155" s="13">
        <v>2.4</v>
      </c>
      <c r="F155" s="12">
        <f t="shared" ref="F155:F160" si="3">B155*C155*E155</f>
        <v>16.8</v>
      </c>
    </row>
    <row r="156" spans="1:6" x14ac:dyDescent="0.25">
      <c r="A156" s="3" t="s">
        <v>48</v>
      </c>
      <c r="B156" s="12">
        <v>2</v>
      </c>
      <c r="C156" s="13">
        <f>4.4+0.15+1.05</f>
        <v>5.6000000000000005</v>
      </c>
      <c r="D156" s="12"/>
      <c r="E156" s="13">
        <v>2.4</v>
      </c>
      <c r="F156" s="12">
        <f t="shared" si="3"/>
        <v>26.880000000000003</v>
      </c>
    </row>
    <row r="157" spans="1:6" x14ac:dyDescent="0.25">
      <c r="A157" s="3" t="s">
        <v>48</v>
      </c>
      <c r="B157" s="12">
        <v>2</v>
      </c>
      <c r="C157" s="13">
        <v>1.8</v>
      </c>
      <c r="D157" s="12"/>
      <c r="E157" s="13">
        <v>2.4</v>
      </c>
      <c r="F157" s="12">
        <f t="shared" si="3"/>
        <v>8.64</v>
      </c>
    </row>
    <row r="158" spans="1:6" x14ac:dyDescent="0.25">
      <c r="A158" s="3" t="s">
        <v>49</v>
      </c>
      <c r="B158" s="12">
        <v>2</v>
      </c>
      <c r="C158" s="13">
        <v>3.5</v>
      </c>
      <c r="D158" s="12"/>
      <c r="E158" s="13">
        <v>2.4</v>
      </c>
      <c r="F158" s="12">
        <f t="shared" si="3"/>
        <v>16.8</v>
      </c>
    </row>
    <row r="159" spans="1:6" x14ac:dyDescent="0.25">
      <c r="A159" s="3" t="s">
        <v>49</v>
      </c>
      <c r="B159" s="12">
        <v>2</v>
      </c>
      <c r="C159" s="13">
        <f>4.4+0.15+1.05</f>
        <v>5.6000000000000005</v>
      </c>
      <c r="D159" s="12"/>
      <c r="E159" s="13">
        <v>2.4</v>
      </c>
      <c r="F159" s="12">
        <f t="shared" si="3"/>
        <v>26.880000000000003</v>
      </c>
    </row>
    <row r="160" spans="1:6" x14ac:dyDescent="0.25">
      <c r="A160" s="3" t="s">
        <v>49</v>
      </c>
      <c r="B160" s="12">
        <v>2</v>
      </c>
      <c r="C160" s="13">
        <v>1.8</v>
      </c>
      <c r="D160" s="12"/>
      <c r="E160" s="13">
        <v>2.4</v>
      </c>
      <c r="F160" s="12">
        <f t="shared" si="3"/>
        <v>8.64</v>
      </c>
    </row>
    <row r="161" spans="1:6" x14ac:dyDescent="0.25">
      <c r="A161" s="16"/>
      <c r="B161" s="12"/>
      <c r="C161" s="12"/>
      <c r="D161" s="12"/>
      <c r="E161" s="12"/>
      <c r="F161" s="12"/>
    </row>
    <row r="162" spans="1:6" x14ac:dyDescent="0.25">
      <c r="A162" s="244" t="s">
        <v>50</v>
      </c>
      <c r="B162" s="244"/>
      <c r="C162" s="244"/>
      <c r="D162" s="244"/>
      <c r="E162" s="244"/>
      <c r="F162" s="14">
        <f>SUM(F155:F161)</f>
        <v>104.64</v>
      </c>
    </row>
    <row r="163" spans="1:6" x14ac:dyDescent="0.25">
      <c r="A163" s="27"/>
      <c r="B163" s="28"/>
      <c r="C163" s="28"/>
      <c r="D163" s="28"/>
      <c r="E163" s="28"/>
      <c r="F163" s="29"/>
    </row>
    <row r="164" spans="1:6" x14ac:dyDescent="0.25">
      <c r="A164" s="244" t="s">
        <v>72</v>
      </c>
      <c r="B164" s="244"/>
      <c r="C164" s="244"/>
      <c r="D164" s="244"/>
      <c r="E164" s="244"/>
      <c r="F164" s="244"/>
    </row>
    <row r="165" spans="1:6" x14ac:dyDescent="0.25">
      <c r="A165" s="2" t="s">
        <v>2</v>
      </c>
      <c r="B165" s="245" t="s">
        <v>21</v>
      </c>
      <c r="C165" s="245"/>
      <c r="D165" s="245"/>
      <c r="E165" s="245"/>
      <c r="F165" s="2" t="s">
        <v>7</v>
      </c>
    </row>
    <row r="166" spans="1:6" x14ac:dyDescent="0.25">
      <c r="A166" s="16" t="s">
        <v>73</v>
      </c>
      <c r="B166" s="245" t="s">
        <v>74</v>
      </c>
      <c r="C166" s="245"/>
      <c r="D166" s="245"/>
      <c r="E166" s="245"/>
      <c r="F166" s="13">
        <v>2</v>
      </c>
    </row>
    <row r="167" spans="1:6" x14ac:dyDescent="0.25">
      <c r="A167" s="16" t="s">
        <v>75</v>
      </c>
      <c r="B167" s="245" t="s">
        <v>76</v>
      </c>
      <c r="C167" s="245"/>
      <c r="D167" s="245"/>
      <c r="E167" s="245"/>
      <c r="F167" s="13">
        <v>1</v>
      </c>
    </row>
    <row r="168" spans="1:6" x14ac:dyDescent="0.25">
      <c r="A168" s="16" t="s">
        <v>77</v>
      </c>
      <c r="B168" s="245" t="s">
        <v>78</v>
      </c>
      <c r="C168" s="245"/>
      <c r="D168" s="245"/>
      <c r="E168" s="245"/>
      <c r="F168" s="13">
        <v>4</v>
      </c>
    </row>
    <row r="169" spans="1:6" x14ac:dyDescent="0.25">
      <c r="A169" s="30" t="s">
        <v>79</v>
      </c>
      <c r="B169" s="245" t="s">
        <v>80</v>
      </c>
      <c r="C169" s="245"/>
      <c r="D169" s="245"/>
      <c r="E169" s="245"/>
      <c r="F169" s="13">
        <v>1</v>
      </c>
    </row>
    <row r="170" spans="1:6" x14ac:dyDescent="0.25">
      <c r="A170" s="244" t="s">
        <v>66</v>
      </c>
      <c r="B170" s="244"/>
      <c r="C170" s="244"/>
      <c r="D170" s="244"/>
      <c r="E170" s="244"/>
      <c r="F170" s="20">
        <f>SUM(F166:F169)</f>
        <v>8</v>
      </c>
    </row>
    <row r="171" spans="1:6" x14ac:dyDescent="0.25">
      <c r="A171" s="31"/>
      <c r="B171" s="31"/>
      <c r="C171" s="31"/>
      <c r="D171" s="31"/>
      <c r="E171" s="31"/>
      <c r="F171" s="32"/>
    </row>
    <row r="172" spans="1:6" x14ac:dyDescent="0.25">
      <c r="A172" s="244" t="s">
        <v>81</v>
      </c>
      <c r="B172" s="244"/>
      <c r="C172" s="244"/>
      <c r="D172" s="244"/>
      <c r="E172" s="244"/>
      <c r="F172" s="244"/>
    </row>
    <row r="173" spans="1:6" x14ac:dyDescent="0.25">
      <c r="A173" s="2" t="s">
        <v>2</v>
      </c>
      <c r="B173" s="2" t="s">
        <v>3</v>
      </c>
      <c r="C173" s="2" t="s">
        <v>4</v>
      </c>
      <c r="D173" s="2" t="s">
        <v>5</v>
      </c>
      <c r="E173" s="2" t="s">
        <v>6</v>
      </c>
      <c r="F173" s="2" t="s">
        <v>7</v>
      </c>
    </row>
    <row r="174" spans="1:6" x14ac:dyDescent="0.25">
      <c r="A174" s="16" t="s">
        <v>82</v>
      </c>
      <c r="B174" s="12"/>
      <c r="C174" s="12"/>
      <c r="D174" s="12"/>
      <c r="E174" s="12"/>
      <c r="F174" s="13">
        <v>571</v>
      </c>
    </row>
    <row r="175" spans="1:6" x14ac:dyDescent="0.25">
      <c r="A175" s="16"/>
      <c r="B175" s="12"/>
      <c r="C175" s="12"/>
      <c r="D175" s="12"/>
      <c r="E175" s="12"/>
      <c r="F175" s="13">
        <f>B175*C175*E175</f>
        <v>0</v>
      </c>
    </row>
    <row r="176" spans="1:6" x14ac:dyDescent="0.25">
      <c r="A176" s="16"/>
      <c r="B176" s="12"/>
      <c r="C176" s="12"/>
      <c r="D176" s="12"/>
      <c r="E176" s="12"/>
      <c r="F176" s="13">
        <f>B176*C176*E176</f>
        <v>0</v>
      </c>
    </row>
    <row r="177" spans="1:6" x14ac:dyDescent="0.25">
      <c r="A177" s="244" t="s">
        <v>50</v>
      </c>
      <c r="B177" s="244"/>
      <c r="C177" s="244"/>
      <c r="D177" s="244"/>
      <c r="E177" s="244"/>
      <c r="F177" s="20">
        <f>SUM(F174:F176)</f>
        <v>571</v>
      </c>
    </row>
    <row r="178" spans="1:6" x14ac:dyDescent="0.25">
      <c r="A178" s="33"/>
      <c r="B178" s="33"/>
      <c r="C178" s="33"/>
      <c r="D178" s="33"/>
      <c r="E178" s="33"/>
      <c r="F178" s="33"/>
    </row>
    <row r="179" spans="1:6" x14ac:dyDescent="0.25">
      <c r="A179" s="244" t="s">
        <v>83</v>
      </c>
      <c r="B179" s="244"/>
      <c r="C179" s="244"/>
      <c r="D179" s="244"/>
      <c r="E179" s="244"/>
      <c r="F179" s="244"/>
    </row>
    <row r="180" spans="1:6" x14ac:dyDescent="0.25">
      <c r="A180" s="2" t="s">
        <v>2</v>
      </c>
      <c r="B180" s="2" t="s">
        <v>3</v>
      </c>
      <c r="C180" s="2" t="s">
        <v>4</v>
      </c>
      <c r="D180" s="2" t="s">
        <v>5</v>
      </c>
      <c r="E180" s="2" t="s">
        <v>6</v>
      </c>
      <c r="F180" s="2" t="s">
        <v>7</v>
      </c>
    </row>
    <row r="181" spans="1:6" x14ac:dyDescent="0.25">
      <c r="A181" s="34" t="s">
        <v>84</v>
      </c>
      <c r="B181" s="35">
        <v>1</v>
      </c>
      <c r="C181" s="18">
        <v>85</v>
      </c>
      <c r="D181" s="18"/>
      <c r="E181" s="18">
        <f>0.2*2</f>
        <v>0.4</v>
      </c>
      <c r="F181" s="18">
        <f>B181*C181*E181</f>
        <v>34</v>
      </c>
    </row>
    <row r="182" spans="1:6" x14ac:dyDescent="0.25">
      <c r="A182" s="34" t="s">
        <v>85</v>
      </c>
      <c r="B182" s="35">
        <v>1</v>
      </c>
      <c r="C182" s="18">
        <v>85</v>
      </c>
      <c r="D182" s="18">
        <v>0.4</v>
      </c>
      <c r="E182" s="35"/>
      <c r="F182" s="18">
        <f>B182*C182*D182</f>
        <v>34</v>
      </c>
    </row>
    <row r="183" spans="1:6" x14ac:dyDescent="0.25">
      <c r="A183" s="16" t="s">
        <v>86</v>
      </c>
      <c r="B183" s="12">
        <v>1</v>
      </c>
      <c r="C183" s="12">
        <v>130</v>
      </c>
      <c r="D183" s="13"/>
      <c r="E183" s="13"/>
      <c r="F183" s="13">
        <f>B183*C183</f>
        <v>130</v>
      </c>
    </row>
    <row r="184" spans="1:6" x14ac:dyDescent="0.25">
      <c r="A184" s="244" t="s">
        <v>50</v>
      </c>
      <c r="B184" s="244"/>
      <c r="C184" s="244"/>
      <c r="D184" s="244"/>
      <c r="E184" s="244"/>
      <c r="F184" s="20">
        <f>SUM(F181:F183)</f>
        <v>198</v>
      </c>
    </row>
    <row r="185" spans="1:6" x14ac:dyDescent="0.25">
      <c r="A185" s="33"/>
      <c r="B185" s="33"/>
      <c r="C185" s="33"/>
      <c r="D185" s="33"/>
      <c r="E185" s="33"/>
      <c r="F185" s="33"/>
    </row>
    <row r="186" spans="1:6" x14ac:dyDescent="0.25">
      <c r="A186" s="244" t="s">
        <v>87</v>
      </c>
      <c r="B186" s="244"/>
      <c r="C186" s="244"/>
      <c r="D186" s="244"/>
      <c r="E186" s="244"/>
      <c r="F186" s="244"/>
    </row>
    <row r="187" spans="1:6" x14ac:dyDescent="0.25">
      <c r="A187" s="2" t="s">
        <v>2</v>
      </c>
      <c r="B187" s="2" t="s">
        <v>3</v>
      </c>
      <c r="C187" s="2" t="s">
        <v>4</v>
      </c>
      <c r="D187" s="2" t="s">
        <v>5</v>
      </c>
      <c r="E187" s="2" t="s">
        <v>6</v>
      </c>
      <c r="F187" s="2" t="s">
        <v>7</v>
      </c>
    </row>
    <row r="188" spans="1:6" x14ac:dyDescent="0.25">
      <c r="A188" s="16" t="s">
        <v>88</v>
      </c>
      <c r="B188" s="12">
        <v>4</v>
      </c>
      <c r="C188" s="12">
        <v>26.05</v>
      </c>
      <c r="D188" s="13"/>
      <c r="E188" s="13"/>
      <c r="F188" s="13">
        <f>B188*C188</f>
        <v>104.2</v>
      </c>
    </row>
    <row r="189" spans="1:6" x14ac:dyDescent="0.25">
      <c r="A189" s="16" t="s">
        <v>88</v>
      </c>
      <c r="B189" s="12">
        <v>6</v>
      </c>
      <c r="C189" s="12">
        <v>5.32</v>
      </c>
      <c r="D189" s="13"/>
      <c r="E189" s="13"/>
      <c r="F189" s="13">
        <f>B189*C189</f>
        <v>31.92</v>
      </c>
    </row>
    <row r="190" spans="1:6" x14ac:dyDescent="0.25">
      <c r="A190" s="16" t="s">
        <v>86</v>
      </c>
      <c r="B190" s="12">
        <v>1</v>
      </c>
      <c r="C190" s="12">
        <v>130</v>
      </c>
      <c r="D190" s="13"/>
      <c r="E190" s="13"/>
      <c r="F190" s="13">
        <f>B190*C190</f>
        <v>130</v>
      </c>
    </row>
    <row r="191" spans="1:6" x14ac:dyDescent="0.25">
      <c r="A191" s="34" t="s">
        <v>84</v>
      </c>
      <c r="B191" s="35">
        <v>1</v>
      </c>
      <c r="C191" s="18">
        <v>85</v>
      </c>
      <c r="D191" s="18"/>
      <c r="E191" s="18">
        <f>0.4*2</f>
        <v>0.8</v>
      </c>
      <c r="F191" s="18">
        <f>B191*C191*E191</f>
        <v>68</v>
      </c>
    </row>
    <row r="192" spans="1:6" x14ac:dyDescent="0.25">
      <c r="A192" s="34" t="s">
        <v>85</v>
      </c>
      <c r="B192" s="35">
        <v>1</v>
      </c>
      <c r="C192" s="18">
        <v>85</v>
      </c>
      <c r="D192" s="18">
        <v>0.4</v>
      </c>
      <c r="E192" s="35"/>
      <c r="F192" s="18">
        <f>B192*C192*D192</f>
        <v>34</v>
      </c>
    </row>
    <row r="193" spans="1:6" x14ac:dyDescent="0.25">
      <c r="A193" s="244" t="s">
        <v>50</v>
      </c>
      <c r="B193" s="244"/>
      <c r="C193" s="244"/>
      <c r="D193" s="244"/>
      <c r="E193" s="244"/>
      <c r="F193" s="20">
        <f>SUM(F188:F192)</f>
        <v>368.12</v>
      </c>
    </row>
    <row r="194" spans="1:6" x14ac:dyDescent="0.25">
      <c r="A194" s="33"/>
      <c r="B194" s="33"/>
      <c r="C194" s="33"/>
      <c r="D194" s="33"/>
      <c r="E194" s="33"/>
      <c r="F194" s="33"/>
    </row>
    <row r="195" spans="1:6" x14ac:dyDescent="0.25">
      <c r="A195" s="244" t="s">
        <v>89</v>
      </c>
      <c r="B195" s="244"/>
      <c r="C195" s="244"/>
      <c r="D195" s="244"/>
      <c r="E195" s="244"/>
      <c r="F195" s="244"/>
    </row>
    <row r="196" spans="1:6" x14ac:dyDescent="0.25">
      <c r="A196" s="2" t="s">
        <v>2</v>
      </c>
      <c r="B196" s="2" t="s">
        <v>90</v>
      </c>
      <c r="C196" s="2" t="s">
        <v>91</v>
      </c>
      <c r="D196" s="2"/>
      <c r="E196" s="2"/>
      <c r="F196" s="2" t="s">
        <v>7</v>
      </c>
    </row>
    <row r="197" spans="1:6" x14ac:dyDescent="0.25">
      <c r="A197" s="16" t="s">
        <v>92</v>
      </c>
      <c r="B197" s="13">
        <f>F557+F567</f>
        <v>1046.4332000000002</v>
      </c>
      <c r="C197" s="13">
        <v>0.5</v>
      </c>
      <c r="D197" s="13"/>
      <c r="E197" s="13"/>
      <c r="F197" s="13">
        <f>B197*C197</f>
        <v>523.21660000000008</v>
      </c>
    </row>
    <row r="198" spans="1:6" x14ac:dyDescent="0.25">
      <c r="A198" s="36" t="s">
        <v>93</v>
      </c>
      <c r="B198" s="37"/>
      <c r="C198" s="37"/>
      <c r="D198" s="38"/>
      <c r="E198" s="38"/>
      <c r="F198" s="38">
        <v>-16.8</v>
      </c>
    </row>
    <row r="199" spans="1:6" x14ac:dyDescent="0.25">
      <c r="A199" s="16"/>
      <c r="B199" s="12"/>
      <c r="C199" s="12"/>
      <c r="D199" s="13"/>
      <c r="E199" s="13"/>
      <c r="F199" s="13">
        <f>B199*C199</f>
        <v>0</v>
      </c>
    </row>
    <row r="200" spans="1:6" x14ac:dyDescent="0.25">
      <c r="A200" s="244" t="s">
        <v>50</v>
      </c>
      <c r="B200" s="244"/>
      <c r="C200" s="244"/>
      <c r="D200" s="244"/>
      <c r="E200" s="244"/>
      <c r="F200" s="20">
        <f>SUM(F197:F199)</f>
        <v>506.41660000000007</v>
      </c>
    </row>
    <row r="201" spans="1:6" x14ac:dyDescent="0.25">
      <c r="A201" s="33"/>
      <c r="B201" s="33"/>
      <c r="C201" s="33"/>
      <c r="D201" s="33"/>
      <c r="E201" s="33"/>
      <c r="F201" s="33"/>
    </row>
    <row r="202" spans="1:6" x14ac:dyDescent="0.25">
      <c r="A202" s="244" t="s">
        <v>94</v>
      </c>
      <c r="B202" s="244"/>
      <c r="C202" s="244"/>
      <c r="D202" s="244"/>
      <c r="E202" s="244"/>
      <c r="F202" s="244"/>
    </row>
    <row r="203" spans="1:6" x14ac:dyDescent="0.25">
      <c r="A203" s="2" t="s">
        <v>2</v>
      </c>
      <c r="B203" s="25" t="s">
        <v>95</v>
      </c>
      <c r="C203" s="2" t="s">
        <v>96</v>
      </c>
      <c r="D203" s="4"/>
      <c r="E203" s="4"/>
      <c r="F203" s="2" t="s">
        <v>7</v>
      </c>
    </row>
    <row r="204" spans="1:6" x14ac:dyDescent="0.25">
      <c r="A204" s="4" t="s">
        <v>97</v>
      </c>
      <c r="B204" s="39">
        <f>F151*0.035</f>
        <v>5.1923375000000016</v>
      </c>
      <c r="C204" s="39">
        <v>1.1000000000000001</v>
      </c>
      <c r="D204" s="2"/>
      <c r="E204" s="2"/>
      <c r="F204" s="13">
        <f t="shared" ref="F204:F209" si="4">B204*C204</f>
        <v>5.7115712500000022</v>
      </c>
    </row>
    <row r="205" spans="1:6" x14ac:dyDescent="0.25">
      <c r="A205" s="4" t="s">
        <v>98</v>
      </c>
      <c r="B205" s="39">
        <f>F162*0.025</f>
        <v>2.6160000000000001</v>
      </c>
      <c r="C205" s="39">
        <v>1.1000000000000001</v>
      </c>
      <c r="D205" s="2"/>
      <c r="E205" s="2"/>
      <c r="F205" s="13">
        <f t="shared" si="4"/>
        <v>2.8776000000000002</v>
      </c>
    </row>
    <row r="206" spans="1:6" x14ac:dyDescent="0.25">
      <c r="A206" s="4" t="s">
        <v>99</v>
      </c>
      <c r="B206" s="39">
        <f>F100*0.015</f>
        <v>1.5695999999999999</v>
      </c>
      <c r="C206" s="39">
        <v>1.1000000000000001</v>
      </c>
      <c r="D206" s="2"/>
      <c r="E206" s="2"/>
      <c r="F206" s="13">
        <f t="shared" si="4"/>
        <v>1.7265600000000001</v>
      </c>
    </row>
    <row r="207" spans="1:6" x14ac:dyDescent="0.25">
      <c r="A207" s="4" t="s">
        <v>100</v>
      </c>
      <c r="B207" s="39">
        <f>F123*0.04</f>
        <v>5.9341000000000008</v>
      </c>
      <c r="C207" s="39">
        <v>1.1000000000000001</v>
      </c>
      <c r="D207" s="2"/>
      <c r="E207" s="2"/>
      <c r="F207" s="13">
        <f t="shared" si="4"/>
        <v>6.5275100000000013</v>
      </c>
    </row>
    <row r="208" spans="1:6" x14ac:dyDescent="0.25">
      <c r="A208" s="4" t="s">
        <v>101</v>
      </c>
      <c r="B208" s="39">
        <f>F111*0.01</f>
        <v>1.0464</v>
      </c>
      <c r="C208" s="39">
        <v>1.1000000000000001</v>
      </c>
      <c r="D208" s="2"/>
      <c r="E208" s="2"/>
      <c r="F208" s="13">
        <f t="shared" si="4"/>
        <v>1.1510400000000001</v>
      </c>
    </row>
    <row r="209" spans="1:6" x14ac:dyDescent="0.25">
      <c r="A209" s="4" t="s">
        <v>102</v>
      </c>
      <c r="B209" s="39">
        <f>(F200)*0.025</f>
        <v>12.660415000000002</v>
      </c>
      <c r="C209" s="39">
        <v>1.1000000000000001</v>
      </c>
      <c r="D209" s="2"/>
      <c r="E209" s="2"/>
      <c r="F209" s="13">
        <f t="shared" si="4"/>
        <v>13.926456500000004</v>
      </c>
    </row>
    <row r="210" spans="1:6" x14ac:dyDescent="0.25">
      <c r="A210" s="244" t="s">
        <v>46</v>
      </c>
      <c r="B210" s="244"/>
      <c r="C210" s="244"/>
      <c r="D210" s="244"/>
      <c r="E210" s="244"/>
      <c r="F210" s="20">
        <f>SUM(F204:F209)</f>
        <v>31.920737750000011</v>
      </c>
    </row>
    <row r="211" spans="1:6" x14ac:dyDescent="0.25">
      <c r="A211" s="244" t="s">
        <v>103</v>
      </c>
      <c r="B211" s="244"/>
      <c r="C211" s="244"/>
      <c r="D211" s="244"/>
      <c r="E211" s="244"/>
      <c r="F211" s="20">
        <v>7</v>
      </c>
    </row>
    <row r="212" spans="1:6" x14ac:dyDescent="0.25">
      <c r="A212" s="7"/>
      <c r="B212" s="7"/>
      <c r="C212" s="7"/>
      <c r="D212" s="7"/>
      <c r="E212" s="7"/>
      <c r="F212" s="40"/>
    </row>
    <row r="213" spans="1:6" x14ac:dyDescent="0.25">
      <c r="A213" s="244" t="s">
        <v>104</v>
      </c>
      <c r="B213" s="244"/>
      <c r="C213" s="244"/>
      <c r="D213" s="244"/>
      <c r="E213" s="244"/>
      <c r="F213" s="244"/>
    </row>
    <row r="214" spans="1:6" x14ac:dyDescent="0.25">
      <c r="A214" s="2" t="s">
        <v>2</v>
      </c>
      <c r="B214" s="2" t="s">
        <v>105</v>
      </c>
      <c r="C214" s="2" t="s">
        <v>96</v>
      </c>
      <c r="D214" s="2"/>
      <c r="E214" s="2"/>
      <c r="F214" s="2" t="s">
        <v>7</v>
      </c>
    </row>
    <row r="215" spans="1:6" x14ac:dyDescent="0.25">
      <c r="A215" s="4" t="s">
        <v>97</v>
      </c>
      <c r="B215" s="39">
        <f t="shared" ref="B215:B220" si="5">B204</f>
        <v>5.1923375000000016</v>
      </c>
      <c r="C215" s="39">
        <v>1.1000000000000001</v>
      </c>
      <c r="D215" s="2"/>
      <c r="E215" s="2"/>
      <c r="F215" s="13">
        <f t="shared" ref="F215:F220" si="6">B215*C215</f>
        <v>5.7115712500000022</v>
      </c>
    </row>
    <row r="216" spans="1:6" x14ac:dyDescent="0.25">
      <c r="A216" s="4" t="s">
        <v>98</v>
      </c>
      <c r="B216" s="39">
        <f t="shared" si="5"/>
        <v>2.6160000000000001</v>
      </c>
      <c r="C216" s="39">
        <v>1.1000000000000001</v>
      </c>
      <c r="D216" s="2"/>
      <c r="E216" s="2"/>
      <c r="F216" s="13">
        <f t="shared" si="6"/>
        <v>2.8776000000000002</v>
      </c>
    </row>
    <row r="217" spans="1:6" x14ac:dyDescent="0.25">
      <c r="A217" s="4" t="s">
        <v>99</v>
      </c>
      <c r="B217" s="39">
        <f t="shared" si="5"/>
        <v>1.5695999999999999</v>
      </c>
      <c r="C217" s="39">
        <v>1.1000000000000001</v>
      </c>
      <c r="D217" s="2"/>
      <c r="E217" s="2"/>
      <c r="F217" s="13">
        <f t="shared" si="6"/>
        <v>1.7265600000000001</v>
      </c>
    </row>
    <row r="218" spans="1:6" x14ac:dyDescent="0.25">
      <c r="A218" s="4" t="s">
        <v>100</v>
      </c>
      <c r="B218" s="39">
        <f t="shared" si="5"/>
        <v>5.9341000000000008</v>
      </c>
      <c r="C218" s="39">
        <v>1.1000000000000001</v>
      </c>
      <c r="D218" s="2"/>
      <c r="E218" s="2"/>
      <c r="F218" s="13">
        <f t="shared" si="6"/>
        <v>6.5275100000000013</v>
      </c>
    </row>
    <row r="219" spans="1:6" x14ac:dyDescent="0.25">
      <c r="A219" s="4" t="s">
        <v>101</v>
      </c>
      <c r="B219" s="39">
        <f t="shared" si="5"/>
        <v>1.0464</v>
      </c>
      <c r="C219" s="39">
        <v>1.1000000000000001</v>
      </c>
      <c r="D219" s="2"/>
      <c r="E219" s="2"/>
      <c r="F219" s="13">
        <f t="shared" si="6"/>
        <v>1.1510400000000001</v>
      </c>
    </row>
    <row r="220" spans="1:6" x14ac:dyDescent="0.25">
      <c r="A220" s="4" t="s">
        <v>102</v>
      </c>
      <c r="B220" s="39">
        <f t="shared" si="5"/>
        <v>12.660415000000002</v>
      </c>
      <c r="C220" s="39">
        <v>1.1000000000000001</v>
      </c>
      <c r="D220" s="2"/>
      <c r="E220" s="2"/>
      <c r="F220" s="13">
        <f t="shared" si="6"/>
        <v>13.926456500000004</v>
      </c>
    </row>
    <row r="221" spans="1:6" x14ac:dyDescent="0.25">
      <c r="A221" s="244" t="s">
        <v>46</v>
      </c>
      <c r="B221" s="244"/>
      <c r="C221" s="244"/>
      <c r="D221" s="244"/>
      <c r="E221" s="244"/>
      <c r="F221" s="20">
        <f>SUM(F215:F220)</f>
        <v>31.920737750000011</v>
      </c>
    </row>
    <row r="222" spans="1:6" x14ac:dyDescent="0.25">
      <c r="A222" s="7"/>
      <c r="B222" s="7"/>
      <c r="C222" s="7"/>
      <c r="D222" s="7"/>
      <c r="E222" s="7"/>
      <c r="F222" s="40"/>
    </row>
    <row r="223" spans="1:6" x14ac:dyDescent="0.25">
      <c r="A223" s="244" t="s">
        <v>106</v>
      </c>
      <c r="B223" s="244"/>
      <c r="C223" s="244"/>
      <c r="D223" s="244"/>
      <c r="E223" s="244"/>
      <c r="F223" s="244"/>
    </row>
    <row r="224" spans="1:6" x14ac:dyDescent="0.25">
      <c r="A224" s="2" t="s">
        <v>2</v>
      </c>
      <c r="B224" s="2" t="s">
        <v>3</v>
      </c>
      <c r="C224" s="2" t="s">
        <v>4</v>
      </c>
      <c r="D224" s="2" t="s">
        <v>5</v>
      </c>
      <c r="E224" s="2" t="s">
        <v>6</v>
      </c>
      <c r="F224" s="2" t="s">
        <v>7</v>
      </c>
    </row>
    <row r="225" spans="1:6" x14ac:dyDescent="0.25">
      <c r="A225" s="16" t="s">
        <v>107</v>
      </c>
      <c r="B225" s="12">
        <v>1</v>
      </c>
      <c r="C225" s="13">
        <v>3.8</v>
      </c>
      <c r="D225" s="12"/>
      <c r="E225" s="13">
        <v>2.4</v>
      </c>
      <c r="F225" s="13">
        <f>B225*C225*E225</f>
        <v>9.1199999999999992</v>
      </c>
    </row>
    <row r="226" spans="1:6" x14ac:dyDescent="0.25">
      <c r="A226" s="16" t="s">
        <v>107</v>
      </c>
      <c r="B226" s="12">
        <v>1</v>
      </c>
      <c r="C226" s="13">
        <v>1.7</v>
      </c>
      <c r="D226" s="12"/>
      <c r="E226" s="13">
        <v>2.4</v>
      </c>
      <c r="F226" s="13">
        <f>B226*C226*E226</f>
        <v>4.08</v>
      </c>
    </row>
    <row r="227" spans="1:6" x14ac:dyDescent="0.25">
      <c r="A227" s="16" t="s">
        <v>107</v>
      </c>
      <c r="B227" s="12">
        <v>1</v>
      </c>
      <c r="C227" s="13">
        <v>3.2</v>
      </c>
      <c r="D227" s="12"/>
      <c r="E227" s="13">
        <v>2.4</v>
      </c>
      <c r="F227" s="13">
        <f>B227*C227*E227</f>
        <v>7.68</v>
      </c>
    </row>
    <row r="228" spans="1:6" x14ac:dyDescent="0.25">
      <c r="A228" s="16" t="s">
        <v>107</v>
      </c>
      <c r="B228" s="12">
        <v>2</v>
      </c>
      <c r="C228" s="13">
        <v>3.55</v>
      </c>
      <c r="D228" s="12"/>
      <c r="E228" s="13">
        <v>2.4</v>
      </c>
      <c r="F228" s="13">
        <f>B228*C228*E228</f>
        <v>17.04</v>
      </c>
    </row>
    <row r="229" spans="1:6" x14ac:dyDescent="0.25">
      <c r="A229" s="36" t="s">
        <v>108</v>
      </c>
      <c r="B229" s="37">
        <v>2</v>
      </c>
      <c r="C229" s="38">
        <v>1</v>
      </c>
      <c r="D229" s="37"/>
      <c r="E229" s="38">
        <v>2.1</v>
      </c>
      <c r="F229" s="38">
        <f>-B229*C229*E229</f>
        <v>-4.2</v>
      </c>
    </row>
    <row r="230" spans="1:6" x14ac:dyDescent="0.25">
      <c r="A230" s="16" t="s">
        <v>109</v>
      </c>
      <c r="B230" s="12">
        <v>1</v>
      </c>
      <c r="C230" s="13">
        <v>3.5</v>
      </c>
      <c r="D230" s="12"/>
      <c r="E230" s="13">
        <v>2.4</v>
      </c>
      <c r="F230" s="13">
        <f>B230*C230*E230</f>
        <v>8.4</v>
      </c>
    </row>
    <row r="231" spans="1:6" x14ac:dyDescent="0.25">
      <c r="A231" s="36" t="s">
        <v>108</v>
      </c>
      <c r="B231" s="37">
        <v>1</v>
      </c>
      <c r="C231" s="38">
        <v>0.7</v>
      </c>
      <c r="D231" s="37"/>
      <c r="E231" s="38">
        <v>2.1</v>
      </c>
      <c r="F231" s="38">
        <f>-B231*C231*E231</f>
        <v>-1.47</v>
      </c>
    </row>
    <row r="232" spans="1:6" x14ac:dyDescent="0.25">
      <c r="A232" s="16" t="s">
        <v>110</v>
      </c>
      <c r="B232" s="12">
        <v>1</v>
      </c>
      <c r="C232" s="13">
        <v>1.65</v>
      </c>
      <c r="D232" s="12"/>
      <c r="E232" s="13">
        <v>2.4</v>
      </c>
      <c r="F232" s="13">
        <f>B232*C232*E232</f>
        <v>3.9599999999999995</v>
      </c>
    </row>
    <row r="233" spans="1:6" x14ac:dyDescent="0.25">
      <c r="A233" s="16" t="s">
        <v>110</v>
      </c>
      <c r="B233" s="12">
        <v>1</v>
      </c>
      <c r="C233" s="13">
        <v>1.2</v>
      </c>
      <c r="D233" s="12"/>
      <c r="E233" s="13">
        <v>2.4</v>
      </c>
      <c r="F233" s="13">
        <f>B233*C233*E233</f>
        <v>2.88</v>
      </c>
    </row>
    <row r="234" spans="1:6" x14ac:dyDescent="0.25">
      <c r="A234" s="36" t="s">
        <v>108</v>
      </c>
      <c r="B234" s="37">
        <v>1</v>
      </c>
      <c r="C234" s="38">
        <v>0.7</v>
      </c>
      <c r="D234" s="37"/>
      <c r="E234" s="38">
        <v>2.1</v>
      </c>
      <c r="F234" s="38">
        <f>-B234*C234*E234</f>
        <v>-1.47</v>
      </c>
    </row>
    <row r="235" spans="1:6" x14ac:dyDescent="0.25">
      <c r="A235" s="16" t="s">
        <v>55</v>
      </c>
      <c r="B235" s="12">
        <v>1</v>
      </c>
      <c r="C235" s="13">
        <v>1.8</v>
      </c>
      <c r="D235" s="12"/>
      <c r="E235" s="13">
        <v>2.4</v>
      </c>
      <c r="F235" s="13">
        <f>B235*C235*E235</f>
        <v>4.32</v>
      </c>
    </row>
    <row r="236" spans="1:6" x14ac:dyDescent="0.25">
      <c r="A236" s="16" t="s">
        <v>56</v>
      </c>
      <c r="B236" s="12">
        <v>1</v>
      </c>
      <c r="C236" s="13">
        <v>1.8</v>
      </c>
      <c r="D236" s="12"/>
      <c r="E236" s="13">
        <v>2.4</v>
      </c>
      <c r="F236" s="13">
        <f>B236*C236*E236</f>
        <v>4.32</v>
      </c>
    </row>
    <row r="237" spans="1:6" x14ac:dyDescent="0.25">
      <c r="A237" s="16" t="s">
        <v>79</v>
      </c>
      <c r="B237" s="12">
        <v>1</v>
      </c>
      <c r="C237" s="13">
        <f>3.16+1.35</f>
        <v>4.51</v>
      </c>
      <c r="D237" s="12"/>
      <c r="E237" s="13">
        <v>2.4</v>
      </c>
      <c r="F237" s="13">
        <f>B237*C237*E237</f>
        <v>10.824</v>
      </c>
    </row>
    <row r="238" spans="1:6" x14ac:dyDescent="0.25">
      <c r="A238" s="244" t="s">
        <v>70</v>
      </c>
      <c r="B238" s="244"/>
      <c r="C238" s="244"/>
      <c r="D238" s="244"/>
      <c r="E238" s="244"/>
      <c r="F238" s="20">
        <f>SUM(F225:F237)</f>
        <v>65.484000000000009</v>
      </c>
    </row>
    <row r="239" spans="1:6" x14ac:dyDescent="0.25">
      <c r="A239" s="7"/>
      <c r="B239" s="7"/>
      <c r="C239" s="7"/>
      <c r="D239" s="7"/>
      <c r="E239" s="7"/>
      <c r="F239" s="40"/>
    </row>
    <row r="240" spans="1:6" x14ac:dyDescent="0.25">
      <c r="A240" s="244" t="s">
        <v>111</v>
      </c>
      <c r="B240" s="244"/>
      <c r="C240" s="244"/>
      <c r="D240" s="244"/>
      <c r="E240" s="244"/>
      <c r="F240" s="244"/>
    </row>
    <row r="241" spans="1:6" x14ac:dyDescent="0.25">
      <c r="A241" s="2" t="s">
        <v>2</v>
      </c>
      <c r="B241" s="2" t="s">
        <v>3</v>
      </c>
      <c r="C241" s="2" t="s">
        <v>4</v>
      </c>
      <c r="D241" s="2" t="s">
        <v>5</v>
      </c>
      <c r="E241" s="2" t="s">
        <v>6</v>
      </c>
      <c r="F241" s="2" t="s">
        <v>7</v>
      </c>
    </row>
    <row r="242" spans="1:6" x14ac:dyDescent="0.25">
      <c r="A242" s="16" t="s">
        <v>55</v>
      </c>
      <c r="B242" s="12">
        <v>3</v>
      </c>
      <c r="C242" s="13">
        <v>1.52</v>
      </c>
      <c r="D242" s="12"/>
      <c r="E242" s="13">
        <v>2</v>
      </c>
      <c r="F242" s="13">
        <f>B242*C242*E242</f>
        <v>9.120000000000001</v>
      </c>
    </row>
    <row r="243" spans="1:6" x14ac:dyDescent="0.25">
      <c r="A243" s="16" t="s">
        <v>55</v>
      </c>
      <c r="B243" s="12">
        <v>4</v>
      </c>
      <c r="C243" s="13">
        <v>0.42</v>
      </c>
      <c r="D243" s="12"/>
      <c r="E243" s="13">
        <v>1.4</v>
      </c>
      <c r="F243" s="13">
        <f>B243*C243*E243</f>
        <v>2.3519999999999999</v>
      </c>
    </row>
    <row r="244" spans="1:6" x14ac:dyDescent="0.25">
      <c r="A244" s="16" t="s">
        <v>55</v>
      </c>
      <c r="B244" s="12">
        <v>1</v>
      </c>
      <c r="C244" s="13">
        <v>0.82</v>
      </c>
      <c r="D244" s="12"/>
      <c r="E244" s="13">
        <v>2</v>
      </c>
      <c r="F244" s="13">
        <f>B244*C244*E244</f>
        <v>1.64</v>
      </c>
    </row>
    <row r="245" spans="1:6" x14ac:dyDescent="0.25">
      <c r="A245" s="16" t="s">
        <v>55</v>
      </c>
      <c r="B245" s="12">
        <v>1</v>
      </c>
      <c r="C245" s="13">
        <v>2.75</v>
      </c>
      <c r="D245" s="12"/>
      <c r="E245" s="13">
        <v>2</v>
      </c>
      <c r="F245" s="13">
        <f>B245*C245*E245</f>
        <v>5.5</v>
      </c>
    </row>
    <row r="246" spans="1:6" x14ac:dyDescent="0.25">
      <c r="A246" s="36" t="s">
        <v>108</v>
      </c>
      <c r="B246" s="37">
        <v>3</v>
      </c>
      <c r="C246" s="38">
        <v>0.6</v>
      </c>
      <c r="D246" s="37"/>
      <c r="E246" s="38">
        <v>2</v>
      </c>
      <c r="F246" s="38">
        <f>-B246*C246*E246</f>
        <v>-3.5999999999999996</v>
      </c>
    </row>
    <row r="247" spans="1:6" x14ac:dyDescent="0.25">
      <c r="A247" s="16" t="s">
        <v>56</v>
      </c>
      <c r="B247" s="12">
        <v>4</v>
      </c>
      <c r="C247" s="13">
        <v>1.52</v>
      </c>
      <c r="D247" s="12"/>
      <c r="E247" s="13">
        <v>2</v>
      </c>
      <c r="F247" s="13">
        <f>B247*C247*E247</f>
        <v>12.16</v>
      </c>
    </row>
    <row r="248" spans="1:6" x14ac:dyDescent="0.25">
      <c r="A248" s="16" t="s">
        <v>56</v>
      </c>
      <c r="B248" s="12">
        <v>1</v>
      </c>
      <c r="C248" s="13">
        <v>4.4000000000000004</v>
      </c>
      <c r="D248" s="12"/>
      <c r="E248" s="13">
        <v>2</v>
      </c>
      <c r="F248" s="13">
        <f>B248*C248*E248</f>
        <v>8.8000000000000007</v>
      </c>
    </row>
    <row r="249" spans="1:6" x14ac:dyDescent="0.25">
      <c r="A249" s="16" t="s">
        <v>56</v>
      </c>
      <c r="B249" s="12">
        <v>1</v>
      </c>
      <c r="C249" s="13">
        <v>0.82</v>
      </c>
      <c r="D249" s="12"/>
      <c r="E249" s="13">
        <v>2</v>
      </c>
      <c r="F249" s="13">
        <f>B249*C249*E249</f>
        <v>1.64</v>
      </c>
    </row>
    <row r="250" spans="1:6" x14ac:dyDescent="0.25">
      <c r="A250" s="36" t="s">
        <v>108</v>
      </c>
      <c r="B250" s="37">
        <v>5</v>
      </c>
      <c r="C250" s="38">
        <v>0.6</v>
      </c>
      <c r="D250" s="37"/>
      <c r="E250" s="38">
        <v>2</v>
      </c>
      <c r="F250" s="38">
        <f>-B250*C250*E250</f>
        <v>-6</v>
      </c>
    </row>
    <row r="251" spans="1:6" x14ac:dyDescent="0.25">
      <c r="A251" s="244" t="s">
        <v>70</v>
      </c>
      <c r="B251" s="244"/>
      <c r="C251" s="244"/>
      <c r="D251" s="244"/>
      <c r="E251" s="244"/>
      <c r="F251" s="20">
        <f>SUM(F242:F250)</f>
        <v>31.612000000000009</v>
      </c>
    </row>
    <row r="252" spans="1:6" x14ac:dyDescent="0.25">
      <c r="A252" s="7"/>
      <c r="B252" s="7"/>
      <c r="C252" s="7"/>
      <c r="D252" s="7"/>
      <c r="E252" s="7"/>
      <c r="F252" s="40"/>
    </row>
    <row r="253" spans="1:6" x14ac:dyDescent="0.25">
      <c r="A253" s="244" t="s">
        <v>112</v>
      </c>
      <c r="B253" s="244"/>
      <c r="C253" s="244"/>
      <c r="D253" s="244"/>
      <c r="E253" s="244"/>
      <c r="F253" s="244"/>
    </row>
    <row r="254" spans="1:6" x14ac:dyDescent="0.25">
      <c r="A254" s="2" t="s">
        <v>2</v>
      </c>
      <c r="B254" s="2" t="s">
        <v>3</v>
      </c>
      <c r="C254" s="2" t="s">
        <v>4</v>
      </c>
      <c r="D254" s="2" t="s">
        <v>5</v>
      </c>
      <c r="E254" s="2" t="s">
        <v>6</v>
      </c>
      <c r="F254" s="2" t="s">
        <v>7</v>
      </c>
    </row>
    <row r="255" spans="1:6" x14ac:dyDescent="0.25">
      <c r="A255" s="16" t="s">
        <v>55</v>
      </c>
      <c r="B255" s="12">
        <v>1</v>
      </c>
      <c r="C255" s="13">
        <v>1.2</v>
      </c>
      <c r="D255" s="13">
        <v>0.1</v>
      </c>
      <c r="E255" s="13">
        <v>0.1</v>
      </c>
      <c r="F255" s="41">
        <f t="shared" ref="F255:F262" si="7">B255*C255*D255*E255</f>
        <v>1.2E-2</v>
      </c>
    </row>
    <row r="256" spans="1:6" x14ac:dyDescent="0.25">
      <c r="A256" s="16" t="s">
        <v>56</v>
      </c>
      <c r="B256" s="12">
        <v>1</v>
      </c>
      <c r="C256" s="13">
        <v>1.2</v>
      </c>
      <c r="D256" s="13">
        <v>0.1</v>
      </c>
      <c r="E256" s="13">
        <v>0.1</v>
      </c>
      <c r="F256" s="41">
        <f t="shared" si="7"/>
        <v>1.2E-2</v>
      </c>
    </row>
    <row r="257" spans="1:6" x14ac:dyDescent="0.25">
      <c r="A257" s="16" t="s">
        <v>113</v>
      </c>
      <c r="B257" s="12">
        <v>1</v>
      </c>
      <c r="C257" s="13">
        <f>0.1+1+0.25</f>
        <v>1.35</v>
      </c>
      <c r="D257" s="13">
        <v>0.1</v>
      </c>
      <c r="E257" s="13">
        <v>0.1</v>
      </c>
      <c r="F257" s="41">
        <f t="shared" si="7"/>
        <v>1.3500000000000002E-2</v>
      </c>
    </row>
    <row r="258" spans="1:6" x14ac:dyDescent="0.25">
      <c r="A258" s="16" t="s">
        <v>114</v>
      </c>
      <c r="B258" s="12">
        <v>1</v>
      </c>
      <c r="C258" s="13">
        <f>0.1+1+0.25</f>
        <v>1.35</v>
      </c>
      <c r="D258" s="13">
        <v>0.1</v>
      </c>
      <c r="E258" s="13">
        <v>0.1</v>
      </c>
      <c r="F258" s="41">
        <f t="shared" si="7"/>
        <v>1.3500000000000002E-2</v>
      </c>
    </row>
    <row r="259" spans="1:6" x14ac:dyDescent="0.25">
      <c r="A259" s="16" t="s">
        <v>110</v>
      </c>
      <c r="B259" s="12">
        <v>1</v>
      </c>
      <c r="C259" s="13">
        <f>0.1+0.6+0.25</f>
        <v>0.95</v>
      </c>
      <c r="D259" s="13">
        <v>0.1</v>
      </c>
      <c r="E259" s="13">
        <v>0.1</v>
      </c>
      <c r="F259" s="41">
        <f t="shared" si="7"/>
        <v>9.5000000000000015E-3</v>
      </c>
    </row>
    <row r="260" spans="1:6" x14ac:dyDescent="0.25">
      <c r="A260" s="16" t="s">
        <v>115</v>
      </c>
      <c r="B260" s="12">
        <v>1</v>
      </c>
      <c r="C260" s="13">
        <f>0.1+0.7+0.25</f>
        <v>1.0499999999999998</v>
      </c>
      <c r="D260" s="13">
        <v>0.1</v>
      </c>
      <c r="E260" s="13">
        <v>0.1</v>
      </c>
      <c r="F260" s="41">
        <f t="shared" si="7"/>
        <v>1.0499999999999999E-2</v>
      </c>
    </row>
    <row r="261" spans="1:6" x14ac:dyDescent="0.25">
      <c r="A261" s="16" t="s">
        <v>116</v>
      </c>
      <c r="B261" s="12">
        <v>2</v>
      </c>
      <c r="C261" s="13">
        <f>1.2+0.25+0.25</f>
        <v>1.7</v>
      </c>
      <c r="D261" s="13">
        <v>0.1</v>
      </c>
      <c r="E261" s="13">
        <v>0.1</v>
      </c>
      <c r="F261" s="41">
        <f t="shared" si="7"/>
        <v>3.4000000000000002E-2</v>
      </c>
    </row>
    <row r="262" spans="1:6" x14ac:dyDescent="0.25">
      <c r="A262" s="16" t="s">
        <v>79</v>
      </c>
      <c r="B262" s="12">
        <v>1</v>
      </c>
      <c r="C262" s="13">
        <f>0.1+0.8+0.25</f>
        <v>1.1499999999999999</v>
      </c>
      <c r="D262" s="13">
        <v>0.1</v>
      </c>
      <c r="E262" s="13">
        <v>0.1</v>
      </c>
      <c r="F262" s="41">
        <f t="shared" si="7"/>
        <v>1.15E-2</v>
      </c>
    </row>
    <row r="263" spans="1:6" x14ac:dyDescent="0.25">
      <c r="A263" s="244" t="s">
        <v>46</v>
      </c>
      <c r="B263" s="244"/>
      <c r="C263" s="244"/>
      <c r="D263" s="244"/>
      <c r="E263" s="244"/>
      <c r="F263" s="42">
        <f>SUM(F255:F262)</f>
        <v>0.11650000000000001</v>
      </c>
    </row>
    <row r="264" spans="1:6" x14ac:dyDescent="0.25">
      <c r="A264" s="7"/>
      <c r="B264" s="7"/>
      <c r="C264" s="7"/>
      <c r="D264" s="7"/>
      <c r="E264" s="7"/>
      <c r="F264" s="40"/>
    </row>
    <row r="265" spans="1:6" x14ac:dyDescent="0.25">
      <c r="A265" s="244" t="s">
        <v>117</v>
      </c>
      <c r="B265" s="244"/>
      <c r="C265" s="244"/>
      <c r="D265" s="244"/>
      <c r="E265" s="244"/>
      <c r="F265" s="244"/>
    </row>
    <row r="266" spans="1:6" x14ac:dyDescent="0.25">
      <c r="A266" s="2" t="s">
        <v>2</v>
      </c>
      <c r="B266" s="2" t="s">
        <v>3</v>
      </c>
      <c r="C266" s="2" t="s">
        <v>4</v>
      </c>
      <c r="D266" s="2" t="s">
        <v>5</v>
      </c>
      <c r="E266" s="2" t="s">
        <v>6</v>
      </c>
      <c r="F266" s="2" t="s">
        <v>7</v>
      </c>
    </row>
    <row r="267" spans="1:6" x14ac:dyDescent="0.25">
      <c r="A267" s="16" t="s">
        <v>107</v>
      </c>
      <c r="B267" s="12">
        <v>2</v>
      </c>
      <c r="C267" s="13">
        <v>3.8</v>
      </c>
      <c r="D267" s="12"/>
      <c r="E267" s="13">
        <v>2.4</v>
      </c>
      <c r="F267" s="13">
        <f>B267*C267*E267</f>
        <v>18.239999999999998</v>
      </c>
    </row>
    <row r="268" spans="1:6" x14ac:dyDescent="0.25">
      <c r="A268" s="16" t="s">
        <v>107</v>
      </c>
      <c r="B268" s="12">
        <v>2</v>
      </c>
      <c r="C268" s="13">
        <v>1.7</v>
      </c>
      <c r="D268" s="12"/>
      <c r="E268" s="13">
        <v>2.4</v>
      </c>
      <c r="F268" s="13">
        <f>B268*C268*E268</f>
        <v>8.16</v>
      </c>
    </row>
    <row r="269" spans="1:6" x14ac:dyDescent="0.25">
      <c r="A269" s="16" t="s">
        <v>107</v>
      </c>
      <c r="B269" s="12">
        <v>2</v>
      </c>
      <c r="C269" s="13">
        <v>3.2</v>
      </c>
      <c r="D269" s="12"/>
      <c r="E269" s="13">
        <v>2.4</v>
      </c>
      <c r="F269" s="13">
        <f>B269*C269*E269</f>
        <v>15.36</v>
      </c>
    </row>
    <row r="270" spans="1:6" x14ac:dyDescent="0.25">
      <c r="A270" s="16" t="s">
        <v>107</v>
      </c>
      <c r="B270" s="12">
        <v>4</v>
      </c>
      <c r="C270" s="13">
        <v>3.55</v>
      </c>
      <c r="D270" s="12"/>
      <c r="E270" s="13">
        <v>2.4</v>
      </c>
      <c r="F270" s="13">
        <f>B270*C270*E270</f>
        <v>34.08</v>
      </c>
    </row>
    <row r="271" spans="1:6" x14ac:dyDescent="0.25">
      <c r="A271" s="36" t="s">
        <v>108</v>
      </c>
      <c r="B271" s="37">
        <v>4</v>
      </c>
      <c r="C271" s="38">
        <v>1</v>
      </c>
      <c r="D271" s="37"/>
      <c r="E271" s="38">
        <v>2.1</v>
      </c>
      <c r="F271" s="38">
        <f>-B271*C271*E271</f>
        <v>-8.4</v>
      </c>
    </row>
    <row r="272" spans="1:6" x14ac:dyDescent="0.25">
      <c r="A272" s="16" t="s">
        <v>109</v>
      </c>
      <c r="B272" s="12">
        <v>2</v>
      </c>
      <c r="C272" s="13">
        <v>3.5</v>
      </c>
      <c r="D272" s="12"/>
      <c r="E272" s="13">
        <v>2.4</v>
      </c>
      <c r="F272" s="13">
        <f>B272*C272*E272</f>
        <v>16.8</v>
      </c>
    </row>
    <row r="273" spans="1:6" x14ac:dyDescent="0.25">
      <c r="A273" s="36" t="s">
        <v>108</v>
      </c>
      <c r="B273" s="37">
        <v>2</v>
      </c>
      <c r="C273" s="38">
        <v>0.7</v>
      </c>
      <c r="D273" s="37"/>
      <c r="E273" s="38">
        <v>2.1</v>
      </c>
      <c r="F273" s="38">
        <f>-B273*C273*E273</f>
        <v>-2.94</v>
      </c>
    </row>
    <row r="274" spans="1:6" x14ac:dyDescent="0.25">
      <c r="A274" s="16" t="s">
        <v>110</v>
      </c>
      <c r="B274" s="12">
        <v>2</v>
      </c>
      <c r="C274" s="13">
        <v>1.65</v>
      </c>
      <c r="D274" s="12"/>
      <c r="E274" s="13">
        <v>2.4</v>
      </c>
      <c r="F274" s="13">
        <f>B274*C274*E274</f>
        <v>7.919999999999999</v>
      </c>
    </row>
    <row r="275" spans="1:6" x14ac:dyDescent="0.25">
      <c r="A275" s="16" t="s">
        <v>110</v>
      </c>
      <c r="B275" s="12">
        <v>2</v>
      </c>
      <c r="C275" s="13">
        <v>1.2</v>
      </c>
      <c r="D275" s="12"/>
      <c r="E275" s="13">
        <v>2.4</v>
      </c>
      <c r="F275" s="13">
        <f>B275*C275*E275</f>
        <v>5.76</v>
      </c>
    </row>
    <row r="276" spans="1:6" x14ac:dyDescent="0.25">
      <c r="A276" s="36" t="s">
        <v>108</v>
      </c>
      <c r="B276" s="37">
        <v>2</v>
      </c>
      <c r="C276" s="38">
        <v>0.7</v>
      </c>
      <c r="D276" s="37"/>
      <c r="E276" s="38">
        <v>2.1</v>
      </c>
      <c r="F276" s="38">
        <f>-B276*C276*E276</f>
        <v>-2.94</v>
      </c>
    </row>
    <row r="277" spans="1:6" x14ac:dyDescent="0.25">
      <c r="A277" s="16" t="s">
        <v>55</v>
      </c>
      <c r="B277" s="12">
        <v>2</v>
      </c>
      <c r="C277" s="13">
        <v>1.8</v>
      </c>
      <c r="D277" s="12"/>
      <c r="E277" s="13">
        <v>2.4</v>
      </c>
      <c r="F277" s="13">
        <f>B277*C277*E277</f>
        <v>8.64</v>
      </c>
    </row>
    <row r="278" spans="1:6" x14ac:dyDescent="0.25">
      <c r="A278" s="16" t="s">
        <v>56</v>
      </c>
      <c r="B278" s="12">
        <v>2</v>
      </c>
      <c r="C278" s="13">
        <v>1.8</v>
      </c>
      <c r="D278" s="12"/>
      <c r="E278" s="13">
        <v>2.4</v>
      </c>
      <c r="F278" s="13">
        <f>B278*C278*E278</f>
        <v>8.64</v>
      </c>
    </row>
    <row r="279" spans="1:6" x14ac:dyDescent="0.25">
      <c r="A279" s="16" t="s">
        <v>79</v>
      </c>
      <c r="B279" s="12">
        <v>2</v>
      </c>
      <c r="C279" s="12">
        <f>3.16+1.35</f>
        <v>4.51</v>
      </c>
      <c r="D279" s="12"/>
      <c r="E279" s="13">
        <v>2.4</v>
      </c>
      <c r="F279" s="13">
        <f>B279*C279*E279</f>
        <v>21.648</v>
      </c>
    </row>
    <row r="280" spans="1:6" x14ac:dyDescent="0.25">
      <c r="A280" s="16"/>
      <c r="B280" s="12"/>
      <c r="C280" s="12"/>
      <c r="D280" s="12"/>
      <c r="E280" s="12"/>
      <c r="F280" s="12">
        <f>B280*C280*E280</f>
        <v>0</v>
      </c>
    </row>
    <row r="281" spans="1:6" x14ac:dyDescent="0.25">
      <c r="A281" s="244" t="s">
        <v>50</v>
      </c>
      <c r="B281" s="244"/>
      <c r="C281" s="244"/>
      <c r="D281" s="244"/>
      <c r="E281" s="244"/>
      <c r="F281" s="20">
        <f>SUM(F267:F280)</f>
        <v>130.96800000000002</v>
      </c>
    </row>
    <row r="282" spans="1:6" x14ac:dyDescent="0.25">
      <c r="A282" s="7"/>
      <c r="B282" s="7"/>
      <c r="C282" s="7"/>
      <c r="D282" s="7"/>
      <c r="E282" s="7"/>
      <c r="F282" s="40"/>
    </row>
    <row r="283" spans="1:6" x14ac:dyDescent="0.25">
      <c r="A283" s="244" t="s">
        <v>118</v>
      </c>
      <c r="B283" s="244"/>
      <c r="C283" s="244"/>
      <c r="D283" s="244"/>
      <c r="E283" s="244"/>
      <c r="F283" s="244"/>
    </row>
    <row r="284" spans="1:6" x14ac:dyDescent="0.25">
      <c r="A284" s="2" t="s">
        <v>2</v>
      </c>
      <c r="B284" s="2" t="s">
        <v>3</v>
      </c>
      <c r="C284" s="2" t="s">
        <v>4</v>
      </c>
      <c r="D284" s="2" t="s">
        <v>5</v>
      </c>
      <c r="E284" s="2" t="s">
        <v>6</v>
      </c>
      <c r="F284" s="2" t="s">
        <v>7</v>
      </c>
    </row>
    <row r="285" spans="1:6" x14ac:dyDescent="0.25">
      <c r="A285" s="16" t="s">
        <v>107</v>
      </c>
      <c r="B285" s="12">
        <v>2</v>
      </c>
      <c r="C285" s="13">
        <v>3.8</v>
      </c>
      <c r="D285" s="12"/>
      <c r="E285" s="13">
        <v>2.4</v>
      </c>
      <c r="F285" s="13">
        <f>B285*C285*E285</f>
        <v>18.239999999999998</v>
      </c>
    </row>
    <row r="286" spans="1:6" x14ac:dyDescent="0.25">
      <c r="A286" s="16" t="s">
        <v>107</v>
      </c>
      <c r="B286" s="12">
        <v>2</v>
      </c>
      <c r="C286" s="13">
        <v>1.7</v>
      </c>
      <c r="D286" s="12"/>
      <c r="E286" s="13">
        <v>2.4</v>
      </c>
      <c r="F286" s="13">
        <f>B286*C286*E286</f>
        <v>8.16</v>
      </c>
    </row>
    <row r="287" spans="1:6" x14ac:dyDescent="0.25">
      <c r="A287" s="16" t="s">
        <v>107</v>
      </c>
      <c r="B287" s="12">
        <v>2</v>
      </c>
      <c r="C287" s="13">
        <v>3.2</v>
      </c>
      <c r="D287" s="12"/>
      <c r="E287" s="13">
        <v>2.4</v>
      </c>
      <c r="F287" s="13">
        <f>B287*C287*E287</f>
        <v>15.36</v>
      </c>
    </row>
    <row r="288" spans="1:6" x14ac:dyDescent="0.25">
      <c r="A288" s="16" t="s">
        <v>107</v>
      </c>
      <c r="B288" s="12">
        <v>4</v>
      </c>
      <c r="C288" s="13">
        <v>3.55</v>
      </c>
      <c r="D288" s="12"/>
      <c r="E288" s="13">
        <v>2.4</v>
      </c>
      <c r="F288" s="13">
        <f>B288*C288*E288</f>
        <v>34.08</v>
      </c>
    </row>
    <row r="289" spans="1:6" x14ac:dyDescent="0.25">
      <c r="A289" s="36" t="s">
        <v>108</v>
      </c>
      <c r="B289" s="37">
        <v>4</v>
      </c>
      <c r="C289" s="38">
        <v>1</v>
      </c>
      <c r="D289" s="37"/>
      <c r="E289" s="38">
        <v>2.1</v>
      </c>
      <c r="F289" s="38">
        <f>-B289*C289*E289</f>
        <v>-8.4</v>
      </c>
    </row>
    <row r="290" spans="1:6" x14ac:dyDescent="0.25">
      <c r="A290" s="16" t="s">
        <v>109</v>
      </c>
      <c r="B290" s="12">
        <v>2</v>
      </c>
      <c r="C290" s="13">
        <v>3.5</v>
      </c>
      <c r="D290" s="12"/>
      <c r="E290" s="13">
        <v>2.4</v>
      </c>
      <c r="F290" s="13">
        <f>B290*C290*E290</f>
        <v>16.8</v>
      </c>
    </row>
    <row r="291" spans="1:6" x14ac:dyDescent="0.25">
      <c r="A291" s="36" t="s">
        <v>108</v>
      </c>
      <c r="B291" s="37">
        <v>2</v>
      </c>
      <c r="C291" s="38">
        <v>0.7</v>
      </c>
      <c r="D291" s="37"/>
      <c r="E291" s="38">
        <v>2.1</v>
      </c>
      <c r="F291" s="38">
        <f>-B291*C291*E291</f>
        <v>-2.94</v>
      </c>
    </row>
    <row r="292" spans="1:6" x14ac:dyDescent="0.25">
      <c r="A292" s="16" t="s">
        <v>110</v>
      </c>
      <c r="B292" s="12">
        <v>2</v>
      </c>
      <c r="C292" s="13">
        <v>1.65</v>
      </c>
      <c r="D292" s="12"/>
      <c r="E292" s="13">
        <v>2.4</v>
      </c>
      <c r="F292" s="13">
        <f>B292*C292*E292</f>
        <v>7.919999999999999</v>
      </c>
    </row>
    <row r="293" spans="1:6" x14ac:dyDescent="0.25">
      <c r="A293" s="16" t="s">
        <v>110</v>
      </c>
      <c r="B293" s="12">
        <v>2</v>
      </c>
      <c r="C293" s="13">
        <v>1.2</v>
      </c>
      <c r="D293" s="12"/>
      <c r="E293" s="13">
        <v>2.4</v>
      </c>
      <c r="F293" s="13">
        <f>B293*C293*E293</f>
        <v>5.76</v>
      </c>
    </row>
    <row r="294" spans="1:6" x14ac:dyDescent="0.25">
      <c r="A294" s="36" t="s">
        <v>108</v>
      </c>
      <c r="B294" s="37">
        <v>2</v>
      </c>
      <c r="C294" s="38">
        <v>0.7</v>
      </c>
      <c r="D294" s="37"/>
      <c r="E294" s="38">
        <v>2.1</v>
      </c>
      <c r="F294" s="38">
        <f>-B294*C294*E294</f>
        <v>-2.94</v>
      </c>
    </row>
    <row r="295" spans="1:6" x14ac:dyDescent="0.25">
      <c r="A295" s="16" t="s">
        <v>55</v>
      </c>
      <c r="B295" s="12">
        <v>2</v>
      </c>
      <c r="C295" s="13">
        <v>1.8</v>
      </c>
      <c r="D295" s="12"/>
      <c r="E295" s="13">
        <v>2.4</v>
      </c>
      <c r="F295" s="13">
        <f>B295*C295*E295</f>
        <v>8.64</v>
      </c>
    </row>
    <row r="296" spans="1:6" x14ac:dyDescent="0.25">
      <c r="A296" s="16" t="s">
        <v>56</v>
      </c>
      <c r="B296" s="12">
        <v>2</v>
      </c>
      <c r="C296" s="13">
        <v>1.8</v>
      </c>
      <c r="D296" s="12"/>
      <c r="E296" s="13">
        <v>2.4</v>
      </c>
      <c r="F296" s="13">
        <f>B296*C296*E296</f>
        <v>8.64</v>
      </c>
    </row>
    <row r="297" spans="1:6" x14ac:dyDescent="0.25">
      <c r="A297" s="16" t="s">
        <v>79</v>
      </c>
      <c r="B297" s="12">
        <v>2</v>
      </c>
      <c r="C297" s="12">
        <f>3.16+1.35</f>
        <v>4.51</v>
      </c>
      <c r="D297" s="12"/>
      <c r="E297" s="13">
        <v>2.4</v>
      </c>
      <c r="F297" s="13">
        <f>B297*C297*E297</f>
        <v>21.648</v>
      </c>
    </row>
    <row r="298" spans="1:6" x14ac:dyDescent="0.25">
      <c r="A298" s="244" t="s">
        <v>50</v>
      </c>
      <c r="B298" s="244"/>
      <c r="C298" s="244"/>
      <c r="D298" s="244"/>
      <c r="E298" s="244"/>
      <c r="F298" s="20">
        <f>SUM(F285:F297)</f>
        <v>130.96800000000002</v>
      </c>
    </row>
    <row r="299" spans="1:6" x14ac:dyDescent="0.25">
      <c r="A299" s="33"/>
      <c r="B299" s="33"/>
      <c r="C299" s="33"/>
      <c r="D299" s="33"/>
      <c r="E299" s="33"/>
      <c r="F299" s="33"/>
    </row>
    <row r="300" spans="1:6" x14ac:dyDescent="0.25">
      <c r="A300" s="244" t="s">
        <v>119</v>
      </c>
      <c r="B300" s="244"/>
      <c r="C300" s="244"/>
      <c r="D300" s="244"/>
      <c r="E300" s="244"/>
      <c r="F300" s="244"/>
    </row>
    <row r="301" spans="1:6" x14ac:dyDescent="0.25">
      <c r="A301" s="2" t="s">
        <v>2</v>
      </c>
      <c r="B301" s="2" t="s">
        <v>90</v>
      </c>
      <c r="C301" s="2" t="s">
        <v>91</v>
      </c>
      <c r="D301" s="2"/>
      <c r="E301" s="2"/>
      <c r="F301" s="2" t="s">
        <v>7</v>
      </c>
    </row>
    <row r="302" spans="1:6" x14ac:dyDescent="0.25">
      <c r="A302" s="16" t="s">
        <v>92</v>
      </c>
      <c r="B302" s="13">
        <v>1046.43</v>
      </c>
      <c r="C302" s="13">
        <v>0.5</v>
      </c>
      <c r="D302" s="13"/>
      <c r="E302" s="13"/>
      <c r="F302" s="13">
        <f>B302*C302</f>
        <v>523.21500000000003</v>
      </c>
    </row>
    <row r="303" spans="1:6" x14ac:dyDescent="0.25">
      <c r="A303" s="36" t="s">
        <v>93</v>
      </c>
      <c r="B303" s="37"/>
      <c r="C303" s="37"/>
      <c r="D303" s="38"/>
      <c r="E303" s="38"/>
      <c r="F303" s="38">
        <v>-16.8</v>
      </c>
    </row>
    <row r="304" spans="1:6" x14ac:dyDescent="0.25">
      <c r="A304" s="244" t="s">
        <v>50</v>
      </c>
      <c r="B304" s="244"/>
      <c r="C304" s="244"/>
      <c r="D304" s="244"/>
      <c r="E304" s="244"/>
      <c r="F304" s="20">
        <f>SUM(F302:F303)</f>
        <v>506.41500000000002</v>
      </c>
    </row>
    <row r="305" spans="1:6" x14ac:dyDescent="0.25">
      <c r="A305" s="17"/>
      <c r="B305" s="17"/>
      <c r="C305" s="17"/>
      <c r="D305" s="17"/>
      <c r="E305" s="17"/>
      <c r="F305" s="17"/>
    </row>
    <row r="306" spans="1:6" x14ac:dyDescent="0.25">
      <c r="A306" s="244" t="s">
        <v>120</v>
      </c>
      <c r="B306" s="244"/>
      <c r="C306" s="244"/>
      <c r="D306" s="244"/>
      <c r="E306" s="244"/>
      <c r="F306" s="244"/>
    </row>
    <row r="307" spans="1:6" x14ac:dyDescent="0.25">
      <c r="A307" s="2" t="s">
        <v>2</v>
      </c>
      <c r="B307" s="2" t="s">
        <v>3</v>
      </c>
      <c r="C307" s="2" t="s">
        <v>121</v>
      </c>
      <c r="D307" s="2" t="s">
        <v>5</v>
      </c>
      <c r="E307" s="2" t="s">
        <v>6</v>
      </c>
      <c r="F307" s="2" t="s">
        <v>7</v>
      </c>
    </row>
    <row r="308" spans="1:6" x14ac:dyDescent="0.25">
      <c r="A308" s="43" t="s">
        <v>110</v>
      </c>
      <c r="B308" s="2">
        <v>1</v>
      </c>
      <c r="C308" s="39">
        <f>1.5+1.2+1.5+1.2</f>
        <v>5.4</v>
      </c>
      <c r="D308" s="2"/>
      <c r="E308" s="39">
        <v>2.4</v>
      </c>
      <c r="F308" s="13">
        <f>B308*C308*E308</f>
        <v>12.96</v>
      </c>
    </row>
    <row r="309" spans="1:6" x14ac:dyDescent="0.25">
      <c r="A309" s="43" t="s">
        <v>113</v>
      </c>
      <c r="B309" s="2">
        <v>1</v>
      </c>
      <c r="C309" s="39">
        <f>1.7*4</f>
        <v>6.8</v>
      </c>
      <c r="D309" s="2"/>
      <c r="E309" s="39">
        <v>2.4</v>
      </c>
      <c r="F309" s="13">
        <f>B309*C309*E309</f>
        <v>16.32</v>
      </c>
    </row>
    <row r="310" spans="1:6" x14ac:dyDescent="0.25">
      <c r="A310" s="43" t="s">
        <v>114</v>
      </c>
      <c r="B310" s="2">
        <v>1</v>
      </c>
      <c r="C310" s="39">
        <f>1.7*4</f>
        <v>6.8</v>
      </c>
      <c r="D310" s="2"/>
      <c r="E310" s="39">
        <v>2.4</v>
      </c>
      <c r="F310" s="13">
        <f>B310*C310*E310</f>
        <v>16.32</v>
      </c>
    </row>
    <row r="311" spans="1:6" x14ac:dyDescent="0.25">
      <c r="A311" s="43" t="s">
        <v>55</v>
      </c>
      <c r="B311" s="2">
        <v>1</v>
      </c>
      <c r="C311" s="39">
        <f>3.5*2+((4+0.15+1.2))*2+1.8*2</f>
        <v>21.300000000000004</v>
      </c>
      <c r="D311" s="2"/>
      <c r="E311" s="39">
        <v>2.4</v>
      </c>
      <c r="F311" s="13">
        <f>B311*C311*E311</f>
        <v>51.120000000000012</v>
      </c>
    </row>
    <row r="312" spans="1:6" x14ac:dyDescent="0.25">
      <c r="A312" s="43" t="s">
        <v>56</v>
      </c>
      <c r="B312" s="2">
        <v>1</v>
      </c>
      <c r="C312" s="39">
        <f>3.5*2+((4+0.15+1.2))*2+1.8*2</f>
        <v>21.300000000000004</v>
      </c>
      <c r="D312" s="2"/>
      <c r="E312" s="39">
        <v>2.4</v>
      </c>
      <c r="F312" s="13">
        <f>B312*C312*E312</f>
        <v>51.120000000000012</v>
      </c>
    </row>
    <row r="313" spans="1:6" x14ac:dyDescent="0.25">
      <c r="A313" s="44" t="s">
        <v>108</v>
      </c>
      <c r="B313" s="45">
        <v>2</v>
      </c>
      <c r="C313" s="46">
        <v>1</v>
      </c>
      <c r="D313" s="45"/>
      <c r="E313" s="46">
        <v>2.1</v>
      </c>
      <c r="F313" s="38">
        <f>-B313*C313*E313</f>
        <v>-4.2</v>
      </c>
    </row>
    <row r="314" spans="1:6" x14ac:dyDescent="0.25">
      <c r="A314" s="43"/>
      <c r="B314" s="2"/>
      <c r="C314" s="2"/>
      <c r="D314" s="2"/>
      <c r="E314" s="2"/>
      <c r="F314" s="13">
        <f>B314*C314*E314</f>
        <v>0</v>
      </c>
    </row>
    <row r="315" spans="1:6" x14ac:dyDescent="0.25">
      <c r="A315" s="244" t="s">
        <v>50</v>
      </c>
      <c r="B315" s="244"/>
      <c r="C315" s="244"/>
      <c r="D315" s="244"/>
      <c r="E315" s="244"/>
      <c r="F315" s="20">
        <f>SUM(F308:F314)</f>
        <v>143.64000000000004</v>
      </c>
    </row>
    <row r="316" spans="1:6" x14ac:dyDescent="0.25">
      <c r="A316" s="17"/>
      <c r="B316" s="17"/>
      <c r="C316" s="17"/>
      <c r="D316" s="17"/>
      <c r="E316" s="17"/>
      <c r="F316" s="17"/>
    </row>
    <row r="317" spans="1:6" x14ac:dyDescent="0.25">
      <c r="A317" s="244" t="s">
        <v>122</v>
      </c>
      <c r="B317" s="244"/>
      <c r="C317" s="244"/>
      <c r="D317" s="244"/>
      <c r="E317" s="244"/>
      <c r="F317" s="244"/>
    </row>
    <row r="318" spans="1:6" x14ac:dyDescent="0.25">
      <c r="A318" s="2" t="s">
        <v>2</v>
      </c>
      <c r="B318" s="2" t="s">
        <v>3</v>
      </c>
      <c r="C318" s="2" t="s">
        <v>4</v>
      </c>
      <c r="D318" s="2" t="s">
        <v>5</v>
      </c>
      <c r="E318" s="2" t="s">
        <v>53</v>
      </c>
      <c r="F318" s="2" t="s">
        <v>7</v>
      </c>
    </row>
    <row r="319" spans="1:6" x14ac:dyDescent="0.25">
      <c r="A319" s="16" t="s">
        <v>54</v>
      </c>
      <c r="B319" s="12">
        <v>1</v>
      </c>
      <c r="C319" s="12">
        <v>5.75</v>
      </c>
      <c r="D319" s="13">
        <v>3.5</v>
      </c>
      <c r="E319" s="13"/>
      <c r="F319" s="13">
        <f>B319*C319*D319</f>
        <v>20.125</v>
      </c>
    </row>
    <row r="320" spans="1:6" x14ac:dyDescent="0.25">
      <c r="A320" s="16" t="s">
        <v>55</v>
      </c>
      <c r="B320" s="12">
        <v>1</v>
      </c>
      <c r="C320" s="13">
        <f>4.4+0.15+1.05</f>
        <v>5.6000000000000005</v>
      </c>
      <c r="D320" s="13">
        <v>3.5</v>
      </c>
      <c r="E320" s="13"/>
      <c r="F320" s="13">
        <f>B320*C320*D320</f>
        <v>19.600000000000001</v>
      </c>
    </row>
    <row r="321" spans="1:6" x14ac:dyDescent="0.25">
      <c r="A321" s="16" t="s">
        <v>56</v>
      </c>
      <c r="B321" s="12">
        <v>1</v>
      </c>
      <c r="C321" s="13">
        <f>4.4+0.15+1.05</f>
        <v>5.6000000000000005</v>
      </c>
      <c r="D321" s="13">
        <v>3.5</v>
      </c>
      <c r="E321" s="13"/>
      <c r="F321" s="13">
        <f>B321*C321*D321</f>
        <v>19.600000000000001</v>
      </c>
    </row>
    <row r="322" spans="1:6" x14ac:dyDescent="0.25">
      <c r="A322" s="16" t="s">
        <v>123</v>
      </c>
      <c r="B322" s="12"/>
      <c r="C322" s="12"/>
      <c r="D322" s="13"/>
      <c r="E322" s="13"/>
      <c r="F322" s="13">
        <v>23.9</v>
      </c>
    </row>
    <row r="323" spans="1:6" x14ac:dyDescent="0.25">
      <c r="A323" s="16" t="s">
        <v>124</v>
      </c>
      <c r="B323" s="12">
        <v>2</v>
      </c>
      <c r="C323" s="13">
        <v>1.7</v>
      </c>
      <c r="D323" s="13">
        <v>1.7</v>
      </c>
      <c r="E323" s="13"/>
      <c r="F323" s="12">
        <f>B323*C323*D323</f>
        <v>5.7799999999999994</v>
      </c>
    </row>
    <row r="324" spans="1:6" x14ac:dyDescent="0.25">
      <c r="A324" s="16" t="s">
        <v>58</v>
      </c>
      <c r="B324" s="12">
        <v>4</v>
      </c>
      <c r="C324" s="12">
        <f>5.75+0.15+0.15</f>
        <v>6.0500000000000007</v>
      </c>
      <c r="D324" s="13">
        <v>3.5</v>
      </c>
      <c r="E324" s="13">
        <v>0.1</v>
      </c>
      <c r="F324" s="13">
        <f>B324*C324*D324*E324</f>
        <v>8.4700000000000024</v>
      </c>
    </row>
    <row r="325" spans="1:6" x14ac:dyDescent="0.25">
      <c r="A325" s="16" t="s">
        <v>58</v>
      </c>
      <c r="B325" s="12">
        <v>1</v>
      </c>
      <c r="C325" s="13">
        <v>30.5</v>
      </c>
      <c r="D325" s="13">
        <v>5.55</v>
      </c>
      <c r="E325" s="13">
        <v>0.1</v>
      </c>
      <c r="F325" s="13">
        <f>B325*C325*D325*E325</f>
        <v>16.927500000000002</v>
      </c>
    </row>
    <row r="326" spans="1:6" x14ac:dyDescent="0.25">
      <c r="A326" s="16" t="s">
        <v>59</v>
      </c>
      <c r="B326" s="12">
        <v>1</v>
      </c>
      <c r="C326" s="18">
        <v>238</v>
      </c>
      <c r="D326" s="18"/>
      <c r="E326" s="13">
        <v>0.1</v>
      </c>
      <c r="F326" s="18">
        <f>B326*C326*E326</f>
        <v>23.8</v>
      </c>
    </row>
    <row r="327" spans="1:6" x14ac:dyDescent="0.25">
      <c r="A327" s="3" t="s">
        <v>60</v>
      </c>
      <c r="B327" s="19">
        <v>1</v>
      </c>
      <c r="C327" s="2"/>
      <c r="D327" s="2"/>
      <c r="E327" s="2"/>
      <c r="F327" s="13">
        <v>5.6</v>
      </c>
    </row>
    <row r="328" spans="1:6" x14ac:dyDescent="0.25">
      <c r="A328" s="244" t="s">
        <v>50</v>
      </c>
      <c r="B328" s="244"/>
      <c r="C328" s="244"/>
      <c r="D328" s="244"/>
      <c r="E328" s="244"/>
      <c r="F328" s="20">
        <f>SUM(F319:F327)</f>
        <v>143.80250000000001</v>
      </c>
    </row>
    <row r="329" spans="1:6" x14ac:dyDescent="0.25">
      <c r="A329" s="7"/>
      <c r="B329" s="7"/>
      <c r="C329" s="7"/>
      <c r="D329" s="7"/>
      <c r="E329" s="7"/>
      <c r="F329" s="40"/>
    </row>
    <row r="330" spans="1:6" x14ac:dyDescent="0.25">
      <c r="A330" s="244" t="s">
        <v>125</v>
      </c>
      <c r="B330" s="244"/>
      <c r="C330" s="244"/>
      <c r="D330" s="244"/>
      <c r="E330" s="244"/>
      <c r="F330" s="244"/>
    </row>
    <row r="331" spans="1:6" x14ac:dyDescent="0.25">
      <c r="A331" s="2" t="s">
        <v>2</v>
      </c>
      <c r="B331" s="2" t="s">
        <v>3</v>
      </c>
      <c r="C331" s="2" t="s">
        <v>4</v>
      </c>
      <c r="D331" s="2" t="s">
        <v>5</v>
      </c>
      <c r="E331" s="2" t="s">
        <v>6</v>
      </c>
      <c r="F331" s="2" t="s">
        <v>7</v>
      </c>
    </row>
    <row r="332" spans="1:6" x14ac:dyDescent="0.25">
      <c r="A332" s="16" t="s">
        <v>110</v>
      </c>
      <c r="B332" s="12">
        <v>1</v>
      </c>
      <c r="C332" s="13">
        <v>1.5</v>
      </c>
      <c r="D332" s="13">
        <v>1.2</v>
      </c>
      <c r="E332" s="12"/>
      <c r="F332" s="13">
        <f>B332*C332*D332</f>
        <v>1.7999999999999998</v>
      </c>
    </row>
    <row r="333" spans="1:6" x14ac:dyDescent="0.25">
      <c r="A333" s="16" t="s">
        <v>113</v>
      </c>
      <c r="B333" s="12">
        <v>1</v>
      </c>
      <c r="C333" s="13">
        <v>1.7</v>
      </c>
      <c r="D333" s="13">
        <v>1.7</v>
      </c>
      <c r="E333" s="12"/>
      <c r="F333" s="13">
        <f>B333*C333*D333</f>
        <v>2.8899999999999997</v>
      </c>
    </row>
    <row r="334" spans="1:6" x14ac:dyDescent="0.25">
      <c r="A334" s="16" t="s">
        <v>114</v>
      </c>
      <c r="B334" s="12">
        <v>1</v>
      </c>
      <c r="C334" s="13">
        <v>1.7</v>
      </c>
      <c r="D334" s="13">
        <v>1.7</v>
      </c>
      <c r="E334" s="12"/>
      <c r="F334" s="13">
        <f>B334*C334*D334</f>
        <v>2.8899999999999997</v>
      </c>
    </row>
    <row r="335" spans="1:6" x14ac:dyDescent="0.25">
      <c r="A335" s="16" t="s">
        <v>126</v>
      </c>
      <c r="B335" s="12">
        <v>1</v>
      </c>
      <c r="C335" s="13">
        <v>3.55</v>
      </c>
      <c r="D335" s="13">
        <v>1.2</v>
      </c>
      <c r="E335" s="12"/>
      <c r="F335" s="13">
        <f>B335*C335*D335</f>
        <v>4.26</v>
      </c>
    </row>
    <row r="336" spans="1:6" x14ac:dyDescent="0.25">
      <c r="A336" s="16" t="s">
        <v>57</v>
      </c>
      <c r="B336" s="12"/>
      <c r="C336" s="13"/>
      <c r="D336" s="13"/>
      <c r="E336" s="12"/>
      <c r="F336" s="13">
        <v>23.9</v>
      </c>
    </row>
    <row r="337" spans="1:6" x14ac:dyDescent="0.25">
      <c r="A337" s="16" t="s">
        <v>54</v>
      </c>
      <c r="B337" s="12">
        <v>1</v>
      </c>
      <c r="C337" s="12">
        <v>5.75</v>
      </c>
      <c r="D337" s="13">
        <v>3.5</v>
      </c>
      <c r="E337" s="13"/>
      <c r="F337" s="13">
        <f>B337*C337*D337</f>
        <v>20.125</v>
      </c>
    </row>
    <row r="338" spans="1:6" x14ac:dyDescent="0.25">
      <c r="A338" s="3"/>
      <c r="B338" s="19"/>
      <c r="C338" s="2"/>
      <c r="D338" s="2"/>
      <c r="E338" s="2"/>
      <c r="F338" s="13"/>
    </row>
    <row r="339" spans="1:6" x14ac:dyDescent="0.25">
      <c r="A339" s="244" t="s">
        <v>50</v>
      </c>
      <c r="B339" s="244"/>
      <c r="C339" s="244"/>
      <c r="D339" s="244"/>
      <c r="E339" s="244"/>
      <c r="F339" s="20">
        <f>SUM(F332:F338)</f>
        <v>55.864999999999995</v>
      </c>
    </row>
    <row r="340" spans="1:6" x14ac:dyDescent="0.25">
      <c r="A340" s="247"/>
      <c r="B340" s="247"/>
      <c r="C340" s="247"/>
      <c r="D340" s="247"/>
      <c r="E340" s="247"/>
      <c r="F340" s="247"/>
    </row>
    <row r="341" spans="1:6" x14ac:dyDescent="0.25">
      <c r="A341" s="250" t="s">
        <v>127</v>
      </c>
      <c r="B341" s="250"/>
      <c r="C341" s="250"/>
      <c r="D341" s="250"/>
      <c r="E341" s="250"/>
      <c r="F341" s="250"/>
    </row>
    <row r="342" spans="1:6" x14ac:dyDescent="0.25">
      <c r="A342" s="47" t="s">
        <v>2</v>
      </c>
      <c r="B342" s="47" t="s">
        <v>3</v>
      </c>
      <c r="C342" s="47" t="s">
        <v>4</v>
      </c>
      <c r="D342" s="47" t="s">
        <v>5</v>
      </c>
      <c r="E342" s="47" t="s">
        <v>53</v>
      </c>
      <c r="F342" s="47" t="s">
        <v>7</v>
      </c>
    </row>
    <row r="343" spans="1:6" x14ac:dyDescent="0.25">
      <c r="A343" s="48" t="s">
        <v>58</v>
      </c>
      <c r="B343" s="49">
        <v>4</v>
      </c>
      <c r="C343" s="49">
        <f>5.75+0.15+0.15</f>
        <v>6.0500000000000007</v>
      </c>
      <c r="D343" s="50">
        <v>3.5</v>
      </c>
      <c r="E343" s="50">
        <v>0.8</v>
      </c>
      <c r="F343" s="50">
        <f>B343*C343*D343*E343</f>
        <v>67.760000000000019</v>
      </c>
    </row>
    <row r="344" spans="1:6" x14ac:dyDescent="0.25">
      <c r="A344" s="48" t="s">
        <v>58</v>
      </c>
      <c r="B344" s="49">
        <v>1</v>
      </c>
      <c r="C344" s="50">
        <v>30.5</v>
      </c>
      <c r="D344" s="50">
        <v>5.55</v>
      </c>
      <c r="E344" s="50">
        <v>0.8</v>
      </c>
      <c r="F344" s="50">
        <f>B344*C344*D344*E344</f>
        <v>135.42000000000002</v>
      </c>
    </row>
    <row r="345" spans="1:6" x14ac:dyDescent="0.25">
      <c r="A345" s="48" t="s">
        <v>59</v>
      </c>
      <c r="B345" s="49">
        <v>1</v>
      </c>
      <c r="C345" s="50">
        <v>238</v>
      </c>
      <c r="D345" s="50"/>
      <c r="E345" s="50">
        <v>0.8</v>
      </c>
      <c r="F345" s="50">
        <f>B345*C345*E345</f>
        <v>190.4</v>
      </c>
    </row>
    <row r="346" spans="1:6" x14ac:dyDescent="0.25">
      <c r="A346" s="48"/>
      <c r="B346" s="49"/>
      <c r="C346" s="49"/>
      <c r="D346" s="49"/>
      <c r="E346" s="49"/>
      <c r="F346" s="50"/>
    </row>
    <row r="347" spans="1:6" x14ac:dyDescent="0.25">
      <c r="A347" s="250" t="s">
        <v>50</v>
      </c>
      <c r="B347" s="250"/>
      <c r="C347" s="250"/>
      <c r="D347" s="250"/>
      <c r="E347" s="250"/>
      <c r="F347" s="51">
        <f>SUM(F343:F346)</f>
        <v>393.58000000000004</v>
      </c>
    </row>
    <row r="348" spans="1:6" x14ac:dyDescent="0.25">
      <c r="A348" s="247"/>
      <c r="B348" s="247"/>
      <c r="C348" s="247"/>
      <c r="D348" s="247"/>
      <c r="E348" s="247"/>
      <c r="F348" s="247"/>
    </row>
    <row r="349" spans="1:6" x14ac:dyDescent="0.25">
      <c r="A349" s="244" t="s">
        <v>128</v>
      </c>
      <c r="B349" s="244"/>
      <c r="C349" s="244"/>
      <c r="D349" s="244"/>
      <c r="E349" s="244"/>
      <c r="F349" s="244"/>
    </row>
    <row r="350" spans="1:6" x14ac:dyDescent="0.25">
      <c r="A350" s="2" t="s">
        <v>2</v>
      </c>
      <c r="B350" s="2" t="s">
        <v>3</v>
      </c>
      <c r="C350" s="2" t="s">
        <v>4</v>
      </c>
      <c r="D350" s="2" t="s">
        <v>5</v>
      </c>
      <c r="E350" s="2" t="s">
        <v>6</v>
      </c>
      <c r="F350" s="2" t="s">
        <v>7</v>
      </c>
    </row>
    <row r="351" spans="1:6" x14ac:dyDescent="0.25">
      <c r="A351" s="16" t="s">
        <v>129</v>
      </c>
      <c r="B351" s="12">
        <v>1</v>
      </c>
      <c r="C351" s="12">
        <f>4+0.15+1.2</f>
        <v>5.3500000000000005</v>
      </c>
      <c r="D351" s="13">
        <v>3.5</v>
      </c>
      <c r="E351" s="12"/>
      <c r="F351" s="13">
        <f>B351*C351*D351</f>
        <v>18.725000000000001</v>
      </c>
    </row>
    <row r="352" spans="1:6" x14ac:dyDescent="0.25">
      <c r="A352" s="16" t="s">
        <v>130</v>
      </c>
      <c r="B352" s="12">
        <v>1</v>
      </c>
      <c r="C352" s="12">
        <f>4+0.15+1.2</f>
        <v>5.3500000000000005</v>
      </c>
      <c r="D352" s="13">
        <v>3.5</v>
      </c>
      <c r="E352" s="12"/>
      <c r="F352" s="13">
        <f>B352*C352*D352</f>
        <v>18.725000000000001</v>
      </c>
    </row>
    <row r="353" spans="1:6" x14ac:dyDescent="0.25">
      <c r="A353" s="16"/>
      <c r="B353" s="12"/>
      <c r="C353" s="13"/>
      <c r="D353" s="13"/>
      <c r="E353" s="13"/>
      <c r="F353" s="13">
        <f>B353*C353*D353</f>
        <v>0</v>
      </c>
    </row>
    <row r="354" spans="1:6" x14ac:dyDescent="0.25">
      <c r="A354" s="244" t="s">
        <v>50</v>
      </c>
      <c r="B354" s="244"/>
      <c r="C354" s="244"/>
      <c r="D354" s="244"/>
      <c r="E354" s="244"/>
      <c r="F354" s="20">
        <f>SUM(F351:F353)</f>
        <v>37.450000000000003</v>
      </c>
    </row>
    <row r="355" spans="1:6" x14ac:dyDescent="0.25">
      <c r="A355" s="33"/>
      <c r="B355" s="33"/>
      <c r="C355" s="33"/>
      <c r="D355" s="33"/>
      <c r="E355" s="33"/>
      <c r="F355" s="33"/>
    </row>
    <row r="356" spans="1:6" x14ac:dyDescent="0.25">
      <c r="A356" s="244" t="s">
        <v>131</v>
      </c>
      <c r="B356" s="244"/>
      <c r="C356" s="244"/>
      <c r="D356" s="244"/>
      <c r="E356" s="244"/>
      <c r="F356" s="244"/>
    </row>
    <row r="357" spans="1:6" x14ac:dyDescent="0.25">
      <c r="A357" s="2" t="s">
        <v>2</v>
      </c>
      <c r="B357" s="2" t="s">
        <v>3</v>
      </c>
      <c r="C357" s="2" t="s">
        <v>4</v>
      </c>
      <c r="D357" s="2" t="s">
        <v>5</v>
      </c>
      <c r="E357" s="2" t="s">
        <v>6</v>
      </c>
      <c r="F357" s="2" t="s">
        <v>7</v>
      </c>
    </row>
    <row r="358" spans="1:6" x14ac:dyDescent="0.25">
      <c r="A358" s="16" t="s">
        <v>60</v>
      </c>
      <c r="B358" s="12"/>
      <c r="C358" s="12"/>
      <c r="D358" s="12"/>
      <c r="E358" s="12"/>
      <c r="F358" s="13">
        <v>5.6</v>
      </c>
    </row>
    <row r="359" spans="1:6" x14ac:dyDescent="0.25">
      <c r="A359" s="16"/>
      <c r="B359" s="12"/>
      <c r="C359" s="12"/>
      <c r="D359" s="12"/>
      <c r="E359" s="12"/>
      <c r="F359" s="13">
        <f>B359*C359</f>
        <v>0</v>
      </c>
    </row>
    <row r="360" spans="1:6" x14ac:dyDescent="0.25">
      <c r="A360" s="244" t="s">
        <v>132</v>
      </c>
      <c r="B360" s="244"/>
      <c r="C360" s="244"/>
      <c r="D360" s="244"/>
      <c r="E360" s="244"/>
      <c r="F360" s="20">
        <f>SUM(F358:F359)</f>
        <v>5.6</v>
      </c>
    </row>
    <row r="361" spans="1:6" x14ac:dyDescent="0.25">
      <c r="A361" s="247"/>
      <c r="B361" s="247"/>
      <c r="C361" s="247"/>
      <c r="D361" s="247"/>
      <c r="E361" s="247"/>
      <c r="F361" s="247"/>
    </row>
    <row r="362" spans="1:6" x14ac:dyDescent="0.25">
      <c r="A362" s="244" t="s">
        <v>133</v>
      </c>
      <c r="B362" s="244"/>
      <c r="C362" s="244"/>
      <c r="D362" s="244"/>
      <c r="E362" s="244"/>
      <c r="F362" s="244"/>
    </row>
    <row r="363" spans="1:6" x14ac:dyDescent="0.25">
      <c r="A363" s="2" t="s">
        <v>2</v>
      </c>
      <c r="B363" s="2" t="s">
        <v>3</v>
      </c>
      <c r="C363" s="2" t="s">
        <v>4</v>
      </c>
      <c r="D363" s="2" t="s">
        <v>5</v>
      </c>
      <c r="E363" s="2" t="s">
        <v>6</v>
      </c>
      <c r="F363" s="2" t="s">
        <v>7</v>
      </c>
    </row>
    <row r="364" spans="1:6" x14ac:dyDescent="0.25">
      <c r="A364" s="16" t="s">
        <v>77</v>
      </c>
      <c r="B364" s="12">
        <v>1</v>
      </c>
      <c r="C364" s="12">
        <f>2+3.2+3.55</f>
        <v>8.75</v>
      </c>
      <c r="D364" s="12"/>
      <c r="E364" s="12"/>
      <c r="F364" s="13">
        <f>B364*C364</f>
        <v>8.75</v>
      </c>
    </row>
    <row r="365" spans="1:6" x14ac:dyDescent="0.25">
      <c r="A365" s="16" t="s">
        <v>79</v>
      </c>
      <c r="B365" s="12">
        <v>1</v>
      </c>
      <c r="C365" s="12">
        <f>9.75-0.8</f>
        <v>8.9499999999999993</v>
      </c>
      <c r="D365" s="12"/>
      <c r="E365" s="12"/>
      <c r="F365" s="13">
        <f>B365*C365</f>
        <v>8.9499999999999993</v>
      </c>
    </row>
    <row r="366" spans="1:6" x14ac:dyDescent="0.25">
      <c r="A366" s="1"/>
      <c r="B366" s="1"/>
      <c r="C366" s="1"/>
      <c r="D366" s="1"/>
      <c r="E366" s="1"/>
      <c r="F366" s="52"/>
    </row>
    <row r="367" spans="1:6" x14ac:dyDescent="0.25">
      <c r="A367" s="244" t="s">
        <v>134</v>
      </c>
      <c r="B367" s="244"/>
      <c r="C367" s="244"/>
      <c r="D367" s="244"/>
      <c r="E367" s="244"/>
      <c r="F367" s="20">
        <f>SUM(F364:F366)</f>
        <v>17.7</v>
      </c>
    </row>
    <row r="368" spans="1:6" x14ac:dyDescent="0.25">
      <c r="A368" s="27"/>
      <c r="B368" s="28"/>
      <c r="C368" s="28"/>
      <c r="D368" s="28"/>
      <c r="E368" s="28"/>
      <c r="F368" s="29"/>
    </row>
    <row r="369" spans="1:6" x14ac:dyDescent="0.25">
      <c r="A369" s="244" t="s">
        <v>135</v>
      </c>
      <c r="B369" s="244"/>
      <c r="C369" s="244"/>
      <c r="D369" s="244"/>
      <c r="E369" s="244"/>
      <c r="F369" s="244"/>
    </row>
    <row r="370" spans="1:6" x14ac:dyDescent="0.25">
      <c r="A370" s="2" t="s">
        <v>2</v>
      </c>
      <c r="B370" s="2" t="s">
        <v>3</v>
      </c>
      <c r="C370" s="2" t="s">
        <v>4</v>
      </c>
      <c r="D370" s="2" t="s">
        <v>5</v>
      </c>
      <c r="E370" s="2" t="s">
        <v>6</v>
      </c>
      <c r="F370" s="2" t="s">
        <v>7</v>
      </c>
    </row>
    <row r="371" spans="1:6" x14ac:dyDescent="0.25">
      <c r="A371" s="16" t="s">
        <v>130</v>
      </c>
      <c r="B371" s="12">
        <v>1</v>
      </c>
      <c r="C371" s="12"/>
      <c r="D371" s="12">
        <v>1.04</v>
      </c>
      <c r="E371" s="12"/>
      <c r="F371" s="12">
        <f t="shared" ref="F371:F379" si="8">B371*D371</f>
        <v>1.04</v>
      </c>
    </row>
    <row r="372" spans="1:6" x14ac:dyDescent="0.25">
      <c r="A372" s="16" t="s">
        <v>129</v>
      </c>
      <c r="B372" s="12">
        <v>1</v>
      </c>
      <c r="C372" s="12"/>
      <c r="D372" s="12">
        <v>1.04</v>
      </c>
      <c r="E372" s="12"/>
      <c r="F372" s="12">
        <f t="shared" si="8"/>
        <v>1.04</v>
      </c>
    </row>
    <row r="373" spans="1:6" x14ac:dyDescent="0.25">
      <c r="A373" s="16" t="s">
        <v>113</v>
      </c>
      <c r="B373" s="12">
        <v>1</v>
      </c>
      <c r="C373" s="12"/>
      <c r="D373" s="12">
        <v>1.04</v>
      </c>
      <c r="E373" s="12"/>
      <c r="F373" s="12">
        <f t="shared" si="8"/>
        <v>1.04</v>
      </c>
    </row>
    <row r="374" spans="1:6" x14ac:dyDescent="0.25">
      <c r="A374" s="16" t="s">
        <v>114</v>
      </c>
      <c r="B374" s="12">
        <v>1</v>
      </c>
      <c r="C374" s="12"/>
      <c r="D374" s="12">
        <v>1.04</v>
      </c>
      <c r="E374" s="12"/>
      <c r="F374" s="12">
        <f t="shared" si="8"/>
        <v>1.04</v>
      </c>
    </row>
    <row r="375" spans="1:6" x14ac:dyDescent="0.25">
      <c r="A375" s="16" t="s">
        <v>136</v>
      </c>
      <c r="B375" s="12">
        <v>1</v>
      </c>
      <c r="C375" s="12"/>
      <c r="D375" s="12">
        <v>1.24</v>
      </c>
      <c r="E375" s="12"/>
      <c r="F375" s="12">
        <f t="shared" si="8"/>
        <v>1.24</v>
      </c>
    </row>
    <row r="376" spans="1:6" x14ac:dyDescent="0.25">
      <c r="A376" s="16" t="s">
        <v>44</v>
      </c>
      <c r="B376" s="12">
        <v>1</v>
      </c>
      <c r="C376" s="12"/>
      <c r="D376" s="12">
        <v>0.84</v>
      </c>
      <c r="E376" s="12"/>
      <c r="F376" s="12">
        <f t="shared" si="8"/>
        <v>0.84</v>
      </c>
    </row>
    <row r="377" spans="1:6" x14ac:dyDescent="0.25">
      <c r="A377" s="16" t="s">
        <v>75</v>
      </c>
      <c r="B377" s="12">
        <v>1</v>
      </c>
      <c r="C377" s="12"/>
      <c r="D377" s="12">
        <v>0.84</v>
      </c>
      <c r="E377" s="12"/>
      <c r="F377" s="12">
        <f t="shared" si="8"/>
        <v>0.84</v>
      </c>
    </row>
    <row r="378" spans="1:6" x14ac:dyDescent="0.25">
      <c r="A378" s="16" t="s">
        <v>110</v>
      </c>
      <c r="B378" s="12">
        <v>1</v>
      </c>
      <c r="C378" s="12"/>
      <c r="D378" s="12">
        <v>0.64</v>
      </c>
      <c r="E378" s="12"/>
      <c r="F378" s="12">
        <f t="shared" si="8"/>
        <v>0.64</v>
      </c>
    </row>
    <row r="379" spans="1:6" x14ac:dyDescent="0.25">
      <c r="A379" s="30" t="s">
        <v>79</v>
      </c>
      <c r="B379" s="12">
        <v>1</v>
      </c>
      <c r="C379" s="12"/>
      <c r="D379" s="12">
        <v>0.84</v>
      </c>
      <c r="E379" s="12"/>
      <c r="F379" s="12">
        <f t="shared" si="8"/>
        <v>0.84</v>
      </c>
    </row>
    <row r="380" spans="1:6" x14ac:dyDescent="0.25">
      <c r="A380" s="244" t="s">
        <v>9</v>
      </c>
      <c r="B380" s="244"/>
      <c r="C380" s="244"/>
      <c r="D380" s="244"/>
      <c r="E380" s="244"/>
      <c r="F380" s="20">
        <f>SUM(F371:F379)</f>
        <v>8.56</v>
      </c>
    </row>
    <row r="381" spans="1:6" x14ac:dyDescent="0.25">
      <c r="A381" s="27"/>
      <c r="B381" s="28"/>
      <c r="C381" s="28"/>
      <c r="D381" s="28"/>
      <c r="E381" s="28"/>
      <c r="F381" s="29"/>
    </row>
    <row r="382" spans="1:6" x14ac:dyDescent="0.25">
      <c r="A382" s="244" t="s">
        <v>137</v>
      </c>
      <c r="B382" s="244"/>
      <c r="C382" s="244"/>
      <c r="D382" s="244"/>
      <c r="E382" s="244"/>
      <c r="F382" s="244"/>
    </row>
    <row r="383" spans="1:6" x14ac:dyDescent="0.25">
      <c r="A383" s="2" t="s">
        <v>2</v>
      </c>
      <c r="B383" s="2" t="s">
        <v>3</v>
      </c>
      <c r="C383" s="2" t="s">
        <v>4</v>
      </c>
      <c r="D383" s="2" t="s">
        <v>5</v>
      </c>
      <c r="E383" s="2" t="s">
        <v>6</v>
      </c>
      <c r="F383" s="2" t="s">
        <v>7</v>
      </c>
    </row>
    <row r="384" spans="1:6" x14ac:dyDescent="0.25">
      <c r="A384" s="16" t="s">
        <v>138</v>
      </c>
      <c r="B384" s="12">
        <v>1</v>
      </c>
      <c r="C384" s="12">
        <v>5.75</v>
      </c>
      <c r="D384" s="13">
        <v>3.5</v>
      </c>
      <c r="E384" s="12"/>
      <c r="F384" s="13">
        <f>B384*C384*D384</f>
        <v>20.125</v>
      </c>
    </row>
    <row r="385" spans="1:6" x14ac:dyDescent="0.25">
      <c r="A385" s="16" t="s">
        <v>129</v>
      </c>
      <c r="B385" s="12">
        <v>1</v>
      </c>
      <c r="C385" s="12">
        <v>5.75</v>
      </c>
      <c r="D385" s="13">
        <v>3.5</v>
      </c>
      <c r="E385" s="12"/>
      <c r="F385" s="13">
        <f>B385*C385*D385</f>
        <v>20.125</v>
      </c>
    </row>
    <row r="386" spans="1:6" x14ac:dyDescent="0.25">
      <c r="A386" s="16" t="s">
        <v>139</v>
      </c>
      <c r="B386" s="12">
        <v>1</v>
      </c>
      <c r="C386" s="12">
        <f>1.7+0.15+1.2</f>
        <v>3.05</v>
      </c>
      <c r="D386" s="12">
        <f>1.7*2+0.15</f>
        <v>3.55</v>
      </c>
      <c r="E386" s="12"/>
      <c r="F386" s="13">
        <f>B386*C386*D386</f>
        <v>10.827499999999999</v>
      </c>
    </row>
    <row r="387" spans="1:6" x14ac:dyDescent="0.25">
      <c r="A387" s="16" t="s">
        <v>140</v>
      </c>
      <c r="B387" s="12">
        <v>1</v>
      </c>
      <c r="C387" s="13">
        <v>5.75</v>
      </c>
      <c r="D387" s="13">
        <v>3.5</v>
      </c>
      <c r="E387" s="12"/>
      <c r="F387" s="13">
        <f>B387*C387*D387</f>
        <v>20.125</v>
      </c>
    </row>
    <row r="388" spans="1:6" x14ac:dyDescent="0.25">
      <c r="A388" s="244" t="s">
        <v>9</v>
      </c>
      <c r="B388" s="244"/>
      <c r="C388" s="244"/>
      <c r="D388" s="244"/>
      <c r="E388" s="244"/>
      <c r="F388" s="20">
        <f>SUM(F384:F387)</f>
        <v>71.202500000000001</v>
      </c>
    </row>
    <row r="389" spans="1:6" x14ac:dyDescent="0.25">
      <c r="A389" s="27"/>
      <c r="B389" s="28"/>
      <c r="C389" s="28"/>
      <c r="D389" s="28"/>
      <c r="E389" s="28"/>
      <c r="F389" s="29"/>
    </row>
    <row r="390" spans="1:6" x14ac:dyDescent="0.25">
      <c r="A390" s="244" t="s">
        <v>141</v>
      </c>
      <c r="B390" s="244"/>
      <c r="C390" s="244"/>
      <c r="D390" s="244"/>
      <c r="E390" s="244"/>
      <c r="F390" s="244"/>
    </row>
    <row r="391" spans="1:6" x14ac:dyDescent="0.25">
      <c r="A391" s="2" t="s">
        <v>2</v>
      </c>
      <c r="B391" s="245" t="s">
        <v>21</v>
      </c>
      <c r="C391" s="245"/>
      <c r="D391" s="245"/>
      <c r="E391" s="245"/>
      <c r="F391" s="2" t="s">
        <v>7</v>
      </c>
    </row>
    <row r="392" spans="1:6" x14ac:dyDescent="0.25">
      <c r="A392" s="16" t="s">
        <v>73</v>
      </c>
      <c r="B392" s="245" t="s">
        <v>142</v>
      </c>
      <c r="C392" s="245"/>
      <c r="D392" s="245"/>
      <c r="E392" s="245"/>
      <c r="F392" s="13">
        <v>2</v>
      </c>
    </row>
    <row r="393" spans="1:6" x14ac:dyDescent="0.25">
      <c r="A393" s="16" t="s">
        <v>143</v>
      </c>
      <c r="B393" s="245" t="s">
        <v>142</v>
      </c>
      <c r="C393" s="245"/>
      <c r="D393" s="245"/>
      <c r="E393" s="245"/>
      <c r="F393" s="13">
        <v>2</v>
      </c>
    </row>
    <row r="394" spans="1:6" x14ac:dyDescent="0.25">
      <c r="A394" s="16"/>
      <c r="B394" s="245"/>
      <c r="C394" s="245"/>
      <c r="D394" s="245"/>
      <c r="E394" s="245"/>
      <c r="F394" s="12">
        <f>B394*C394*E394</f>
        <v>0</v>
      </c>
    </row>
    <row r="395" spans="1:6" x14ac:dyDescent="0.25">
      <c r="A395" s="244" t="s">
        <v>66</v>
      </c>
      <c r="B395" s="244"/>
      <c r="C395" s="244"/>
      <c r="D395" s="244"/>
      <c r="E395" s="244"/>
      <c r="F395" s="20">
        <f>SUM(F392:F394)</f>
        <v>4</v>
      </c>
    </row>
    <row r="396" spans="1:6" x14ac:dyDescent="0.25">
      <c r="A396" s="27"/>
      <c r="B396" s="28"/>
      <c r="C396" s="28"/>
      <c r="D396" s="28"/>
      <c r="E396" s="28"/>
      <c r="F396" s="29"/>
    </row>
    <row r="397" spans="1:6" x14ac:dyDescent="0.25">
      <c r="A397" s="244" t="s">
        <v>144</v>
      </c>
      <c r="B397" s="244"/>
      <c r="C397" s="244"/>
      <c r="D397" s="244"/>
      <c r="E397" s="244"/>
      <c r="F397" s="244"/>
    </row>
    <row r="398" spans="1:6" x14ac:dyDescent="0.25">
      <c r="A398" s="2" t="s">
        <v>2</v>
      </c>
      <c r="B398" s="245" t="s">
        <v>21</v>
      </c>
      <c r="C398" s="245"/>
      <c r="D398" s="245"/>
      <c r="E398" s="245"/>
      <c r="F398" s="2" t="s">
        <v>7</v>
      </c>
    </row>
    <row r="399" spans="1:6" x14ac:dyDescent="0.25">
      <c r="A399" s="16" t="s">
        <v>145</v>
      </c>
      <c r="B399" s="245" t="s">
        <v>74</v>
      </c>
      <c r="C399" s="245"/>
      <c r="D399" s="245"/>
      <c r="E399" s="245"/>
      <c r="F399" s="13">
        <v>2</v>
      </c>
    </row>
    <row r="400" spans="1:6" x14ac:dyDescent="0.25">
      <c r="A400" s="16" t="s">
        <v>79</v>
      </c>
      <c r="B400" s="245" t="s">
        <v>74</v>
      </c>
      <c r="C400" s="245"/>
      <c r="D400" s="245"/>
      <c r="E400" s="245"/>
      <c r="F400" s="13">
        <v>1</v>
      </c>
    </row>
    <row r="401" spans="1:6" x14ac:dyDescent="0.25">
      <c r="A401" s="244" t="s">
        <v>66</v>
      </c>
      <c r="B401" s="244"/>
      <c r="C401" s="244"/>
      <c r="D401" s="244"/>
      <c r="E401" s="244"/>
      <c r="F401" s="20">
        <f>SUM(F399:F400)</f>
        <v>3</v>
      </c>
    </row>
    <row r="402" spans="1:6" x14ac:dyDescent="0.25">
      <c r="A402" s="27"/>
      <c r="B402" s="28"/>
      <c r="C402" s="28"/>
      <c r="D402" s="28"/>
      <c r="E402" s="28"/>
      <c r="F402" s="29"/>
    </row>
    <row r="403" spans="1:6" x14ac:dyDescent="0.25">
      <c r="A403" s="244" t="s">
        <v>146</v>
      </c>
      <c r="B403" s="244"/>
      <c r="C403" s="244"/>
      <c r="D403" s="244"/>
      <c r="E403" s="244"/>
      <c r="F403" s="244"/>
    </row>
    <row r="404" spans="1:6" x14ac:dyDescent="0.25">
      <c r="A404" s="2" t="s">
        <v>2</v>
      </c>
      <c r="B404" s="245" t="s">
        <v>21</v>
      </c>
      <c r="C404" s="245"/>
      <c r="D404" s="245"/>
      <c r="E404" s="245"/>
      <c r="F404" s="2" t="s">
        <v>7</v>
      </c>
    </row>
    <row r="405" spans="1:6" x14ac:dyDescent="0.25">
      <c r="A405" s="16" t="s">
        <v>110</v>
      </c>
      <c r="B405" s="245" t="s">
        <v>147</v>
      </c>
      <c r="C405" s="245"/>
      <c r="D405" s="245"/>
      <c r="E405" s="245"/>
      <c r="F405" s="13">
        <v>1</v>
      </c>
    </row>
    <row r="406" spans="1:6" x14ac:dyDescent="0.25">
      <c r="A406" s="16"/>
      <c r="B406" s="245"/>
      <c r="C406" s="245"/>
      <c r="D406" s="245"/>
      <c r="E406" s="245"/>
      <c r="F406" s="12">
        <f>B406*C406*E406</f>
        <v>0</v>
      </c>
    </row>
    <row r="407" spans="1:6" x14ac:dyDescent="0.25">
      <c r="A407" s="244" t="s">
        <v>66</v>
      </c>
      <c r="B407" s="244"/>
      <c r="C407" s="244"/>
      <c r="D407" s="244"/>
      <c r="E407" s="244"/>
      <c r="F407" s="20">
        <f>SUM(F405:F406)</f>
        <v>1</v>
      </c>
    </row>
    <row r="408" spans="1:6" x14ac:dyDescent="0.25">
      <c r="A408" s="27"/>
      <c r="B408" s="28"/>
      <c r="C408" s="28"/>
      <c r="D408" s="28"/>
      <c r="E408" s="28"/>
      <c r="F408" s="29"/>
    </row>
    <row r="409" spans="1:6" x14ac:dyDescent="0.25">
      <c r="A409" s="249" t="s">
        <v>148</v>
      </c>
      <c r="B409" s="249"/>
      <c r="C409" s="249"/>
      <c r="D409" s="249"/>
      <c r="E409" s="249"/>
      <c r="F409" s="249"/>
    </row>
    <row r="410" spans="1:6" x14ac:dyDescent="0.25">
      <c r="A410" s="244"/>
      <c r="B410" s="244"/>
      <c r="C410" s="244"/>
      <c r="D410" s="244"/>
      <c r="E410" s="244"/>
      <c r="F410" s="244"/>
    </row>
    <row r="411" spans="1:6" x14ac:dyDescent="0.25">
      <c r="A411" s="2" t="s">
        <v>2</v>
      </c>
      <c r="B411" s="2" t="s">
        <v>3</v>
      </c>
      <c r="C411" s="2" t="s">
        <v>4</v>
      </c>
      <c r="D411" s="2" t="s">
        <v>5</v>
      </c>
      <c r="E411" s="2" t="s">
        <v>6</v>
      </c>
      <c r="F411" s="2" t="s">
        <v>7</v>
      </c>
    </row>
    <row r="412" spans="1:6" x14ac:dyDescent="0.25">
      <c r="A412" s="16" t="s">
        <v>130</v>
      </c>
      <c r="B412" s="12">
        <v>3</v>
      </c>
      <c r="C412" s="12"/>
      <c r="D412" s="13">
        <v>0.6</v>
      </c>
      <c r="E412" s="13">
        <v>1.8</v>
      </c>
      <c r="F412" s="12">
        <f>B412*D412*E412</f>
        <v>3.2399999999999998</v>
      </c>
    </row>
    <row r="413" spans="1:6" x14ac:dyDescent="0.25">
      <c r="A413" s="16" t="s">
        <v>129</v>
      </c>
      <c r="B413" s="12">
        <v>5</v>
      </c>
      <c r="C413" s="12"/>
      <c r="D413" s="13">
        <v>0.6</v>
      </c>
      <c r="E413" s="13">
        <v>1.8</v>
      </c>
      <c r="F413" s="13">
        <f>B413*D413*E413</f>
        <v>5.4</v>
      </c>
    </row>
    <row r="414" spans="1:6" x14ac:dyDescent="0.25">
      <c r="A414" s="16"/>
      <c r="B414" s="12"/>
      <c r="C414" s="12"/>
      <c r="D414" s="12"/>
      <c r="E414" s="12"/>
      <c r="F414" s="12">
        <f>B414*D414</f>
        <v>0</v>
      </c>
    </row>
    <row r="415" spans="1:6" x14ac:dyDescent="0.25">
      <c r="A415" s="244" t="s">
        <v>70</v>
      </c>
      <c r="B415" s="244"/>
      <c r="C415" s="244"/>
      <c r="D415" s="244"/>
      <c r="E415" s="244"/>
      <c r="F415" s="20">
        <f>SUM(F412:F414)</f>
        <v>8.64</v>
      </c>
    </row>
    <row r="416" spans="1:6" x14ac:dyDescent="0.25">
      <c r="A416" s="27"/>
      <c r="B416" s="28"/>
      <c r="C416" s="28"/>
      <c r="D416" s="28"/>
      <c r="E416" s="28"/>
      <c r="F416" s="29"/>
    </row>
    <row r="417" spans="1:6" ht="15" customHeight="1" x14ac:dyDescent="0.25">
      <c r="A417" s="244" t="s">
        <v>149</v>
      </c>
      <c r="B417" s="244"/>
      <c r="C417" s="244"/>
      <c r="D417" s="244"/>
      <c r="E417" s="244"/>
      <c r="F417" s="244"/>
    </row>
    <row r="418" spans="1:6" x14ac:dyDescent="0.25">
      <c r="A418" s="2" t="s">
        <v>2</v>
      </c>
      <c r="B418" s="245" t="s">
        <v>21</v>
      </c>
      <c r="C418" s="245"/>
      <c r="D418" s="245"/>
      <c r="E418" s="245"/>
      <c r="F418" s="2" t="s">
        <v>7</v>
      </c>
    </row>
    <row r="419" spans="1:6" x14ac:dyDescent="0.25">
      <c r="A419" s="43" t="s">
        <v>79</v>
      </c>
      <c r="B419" s="245" t="s">
        <v>150</v>
      </c>
      <c r="C419" s="245"/>
      <c r="D419" s="245"/>
      <c r="E419" s="245"/>
      <c r="F419" s="13">
        <v>1</v>
      </c>
    </row>
    <row r="420" spans="1:6" x14ac:dyDescent="0.25">
      <c r="A420" s="16" t="s">
        <v>145</v>
      </c>
      <c r="B420" s="245" t="s">
        <v>150</v>
      </c>
      <c r="C420" s="245"/>
      <c r="D420" s="245"/>
      <c r="E420" s="245"/>
      <c r="F420" s="13">
        <v>1</v>
      </c>
    </row>
    <row r="421" spans="1:6" x14ac:dyDescent="0.25">
      <c r="A421" s="16" t="s">
        <v>130</v>
      </c>
      <c r="B421" s="245" t="s">
        <v>150</v>
      </c>
      <c r="C421" s="245"/>
      <c r="D421" s="245"/>
      <c r="E421" s="245"/>
      <c r="F421" s="13">
        <v>1</v>
      </c>
    </row>
    <row r="422" spans="1:6" x14ac:dyDescent="0.25">
      <c r="A422" s="16" t="s">
        <v>129</v>
      </c>
      <c r="B422" s="245" t="s">
        <v>150</v>
      </c>
      <c r="C422" s="245"/>
      <c r="D422" s="245"/>
      <c r="E422" s="245"/>
      <c r="F422" s="13">
        <v>1</v>
      </c>
    </row>
    <row r="423" spans="1:6" x14ac:dyDescent="0.25">
      <c r="A423" s="16" t="s">
        <v>113</v>
      </c>
      <c r="B423" s="245" t="s">
        <v>150</v>
      </c>
      <c r="C423" s="245"/>
      <c r="D423" s="245"/>
      <c r="E423" s="245"/>
      <c r="F423" s="13">
        <v>1</v>
      </c>
    </row>
    <row r="424" spans="1:6" x14ac:dyDescent="0.25">
      <c r="A424" s="16" t="s">
        <v>114</v>
      </c>
      <c r="B424" s="245" t="s">
        <v>150</v>
      </c>
      <c r="C424" s="245"/>
      <c r="D424" s="245"/>
      <c r="E424" s="245"/>
      <c r="F424" s="13">
        <v>1</v>
      </c>
    </row>
    <row r="425" spans="1:6" x14ac:dyDescent="0.25">
      <c r="A425" s="244" t="s">
        <v>66</v>
      </c>
      <c r="B425" s="244"/>
      <c r="C425" s="244"/>
      <c r="D425" s="244"/>
      <c r="E425" s="244"/>
      <c r="F425" s="20">
        <f>SUM(F419:F424)</f>
        <v>6</v>
      </c>
    </row>
    <row r="426" spans="1:6" x14ac:dyDescent="0.25">
      <c r="A426" s="27"/>
      <c r="B426" s="28"/>
      <c r="C426" s="28"/>
      <c r="D426" s="28"/>
      <c r="E426" s="28"/>
      <c r="F426" s="29"/>
    </row>
    <row r="427" spans="1:6" x14ac:dyDescent="0.25">
      <c r="A427" s="244" t="s">
        <v>151</v>
      </c>
      <c r="B427" s="244"/>
      <c r="C427" s="244"/>
      <c r="D427" s="244"/>
      <c r="E427" s="244"/>
      <c r="F427" s="244"/>
    </row>
    <row r="428" spans="1:6" x14ac:dyDescent="0.25">
      <c r="A428" s="2" t="s">
        <v>2</v>
      </c>
      <c r="B428" s="245" t="s">
        <v>21</v>
      </c>
      <c r="C428" s="245"/>
      <c r="D428" s="245"/>
      <c r="E428" s="245"/>
      <c r="F428" s="2" t="s">
        <v>7</v>
      </c>
    </row>
    <row r="429" spans="1:6" x14ac:dyDescent="0.25">
      <c r="A429" s="16" t="s">
        <v>113</v>
      </c>
      <c r="B429" s="245" t="s">
        <v>152</v>
      </c>
      <c r="C429" s="245"/>
      <c r="D429" s="245"/>
      <c r="E429" s="245"/>
      <c r="F429" s="13">
        <v>2</v>
      </c>
    </row>
    <row r="430" spans="1:6" x14ac:dyDescent="0.25">
      <c r="A430" s="16" t="s">
        <v>114</v>
      </c>
      <c r="B430" s="245" t="s">
        <v>152</v>
      </c>
      <c r="C430" s="245"/>
      <c r="D430" s="245"/>
      <c r="E430" s="245"/>
      <c r="F430" s="13">
        <v>2</v>
      </c>
    </row>
    <row r="431" spans="1:6" x14ac:dyDescent="0.25">
      <c r="A431" s="30"/>
      <c r="B431" s="245"/>
      <c r="C431" s="245"/>
      <c r="D431" s="245"/>
      <c r="E431" s="245"/>
      <c r="F431" s="13"/>
    </row>
    <row r="432" spans="1:6" x14ac:dyDescent="0.25">
      <c r="A432" s="244" t="s">
        <v>66</v>
      </c>
      <c r="B432" s="244"/>
      <c r="C432" s="244"/>
      <c r="D432" s="244"/>
      <c r="E432" s="244"/>
      <c r="F432" s="20">
        <f>SUM(F429:F430)</f>
        <v>4</v>
      </c>
    </row>
    <row r="433" spans="1:6" x14ac:dyDescent="0.25">
      <c r="A433" s="27"/>
      <c r="B433" s="28"/>
      <c r="C433" s="28"/>
      <c r="D433" s="28"/>
      <c r="E433" s="28"/>
      <c r="F433" s="29"/>
    </row>
    <row r="434" spans="1:6" x14ac:dyDescent="0.25">
      <c r="A434" s="244" t="s">
        <v>153</v>
      </c>
      <c r="B434" s="244"/>
      <c r="C434" s="244"/>
      <c r="D434" s="244"/>
      <c r="E434" s="244"/>
      <c r="F434" s="244"/>
    </row>
    <row r="435" spans="1:6" x14ac:dyDescent="0.25">
      <c r="A435" s="2" t="s">
        <v>2</v>
      </c>
      <c r="B435" s="245" t="s">
        <v>21</v>
      </c>
      <c r="C435" s="245"/>
      <c r="D435" s="245"/>
      <c r="E435" s="245"/>
      <c r="F435" s="2" t="s">
        <v>7</v>
      </c>
    </row>
    <row r="436" spans="1:6" x14ac:dyDescent="0.25">
      <c r="A436" s="16" t="s">
        <v>154</v>
      </c>
      <c r="B436" s="245" t="s">
        <v>155</v>
      </c>
      <c r="C436" s="245"/>
      <c r="D436" s="245"/>
      <c r="E436" s="245"/>
      <c r="F436" s="13">
        <v>3</v>
      </c>
    </row>
    <row r="437" spans="1:6" x14ac:dyDescent="0.25">
      <c r="A437" s="16" t="s">
        <v>129</v>
      </c>
      <c r="B437" s="245" t="s">
        <v>155</v>
      </c>
      <c r="C437" s="245"/>
      <c r="D437" s="245"/>
      <c r="E437" s="245"/>
      <c r="F437" s="13">
        <v>5</v>
      </c>
    </row>
    <row r="438" spans="1:6" x14ac:dyDescent="0.25">
      <c r="A438" s="16"/>
      <c r="B438" s="245"/>
      <c r="C438" s="245"/>
      <c r="D438" s="245"/>
      <c r="E438" s="245"/>
      <c r="F438" s="13"/>
    </row>
    <row r="439" spans="1:6" x14ac:dyDescent="0.25">
      <c r="A439" s="244" t="s">
        <v>66</v>
      </c>
      <c r="B439" s="244"/>
      <c r="C439" s="244"/>
      <c r="D439" s="244"/>
      <c r="E439" s="244"/>
      <c r="F439" s="20">
        <f>SUM(F436:F437)</f>
        <v>8</v>
      </c>
    </row>
    <row r="440" spans="1:6" x14ac:dyDescent="0.25">
      <c r="A440" s="27"/>
      <c r="B440" s="28"/>
      <c r="C440" s="28"/>
      <c r="D440" s="28"/>
      <c r="E440" s="28"/>
      <c r="F440" s="29"/>
    </row>
    <row r="441" spans="1:6" x14ac:dyDescent="0.25">
      <c r="A441" s="249" t="s">
        <v>156</v>
      </c>
      <c r="B441" s="249"/>
      <c r="C441" s="249"/>
      <c r="D441" s="249"/>
      <c r="E441" s="249"/>
      <c r="F441" s="249"/>
    </row>
    <row r="442" spans="1:6" x14ac:dyDescent="0.25">
      <c r="A442" s="244"/>
      <c r="B442" s="244"/>
      <c r="C442" s="244"/>
      <c r="D442" s="244"/>
      <c r="E442" s="244"/>
      <c r="F442" s="244"/>
    </row>
    <row r="443" spans="1:6" x14ac:dyDescent="0.25">
      <c r="A443" s="2" t="s">
        <v>2</v>
      </c>
      <c r="B443" s="2" t="s">
        <v>3</v>
      </c>
      <c r="C443" s="2" t="s">
        <v>4</v>
      </c>
      <c r="D443" s="2" t="s">
        <v>5</v>
      </c>
      <c r="E443" s="2" t="s">
        <v>6</v>
      </c>
      <c r="F443" s="2" t="s">
        <v>7</v>
      </c>
    </row>
    <row r="444" spans="1:6" x14ac:dyDescent="0.25">
      <c r="A444" s="16" t="s">
        <v>157</v>
      </c>
      <c r="B444" s="12">
        <v>2</v>
      </c>
      <c r="C444" s="12"/>
      <c r="D444" s="13">
        <v>1</v>
      </c>
      <c r="E444" s="13">
        <v>0.5</v>
      </c>
      <c r="F444" s="13">
        <f>B444*D444*E444</f>
        <v>1</v>
      </c>
    </row>
    <row r="445" spans="1:6" x14ac:dyDescent="0.25">
      <c r="A445" s="16" t="s">
        <v>114</v>
      </c>
      <c r="B445" s="12">
        <v>2</v>
      </c>
      <c r="C445" s="12"/>
      <c r="D445" s="13">
        <v>1</v>
      </c>
      <c r="E445" s="13">
        <v>0.5</v>
      </c>
      <c r="F445" s="13">
        <f>B445*D445*E445</f>
        <v>1</v>
      </c>
    </row>
    <row r="446" spans="1:6" x14ac:dyDescent="0.25">
      <c r="A446" s="16"/>
      <c r="B446" s="12"/>
      <c r="C446" s="12"/>
      <c r="D446" s="12"/>
      <c r="E446" s="12"/>
      <c r="F446" s="12"/>
    </row>
    <row r="447" spans="1:6" x14ac:dyDescent="0.25">
      <c r="A447" s="244" t="s">
        <v>70</v>
      </c>
      <c r="B447" s="244"/>
      <c r="C447" s="244"/>
      <c r="D447" s="244"/>
      <c r="E447" s="244"/>
      <c r="F447" s="20">
        <f>SUM(F444:F446)</f>
        <v>2</v>
      </c>
    </row>
    <row r="448" spans="1:6" x14ac:dyDescent="0.25">
      <c r="A448" s="27"/>
      <c r="B448" s="28"/>
      <c r="C448" s="28"/>
      <c r="D448" s="28"/>
      <c r="E448" s="28"/>
      <c r="F448" s="29"/>
    </row>
    <row r="449" spans="1:6" x14ac:dyDescent="0.25">
      <c r="A449" s="244" t="s">
        <v>158</v>
      </c>
      <c r="B449" s="244"/>
      <c r="C449" s="244"/>
      <c r="D449" s="244"/>
      <c r="E449" s="244"/>
      <c r="F449" s="244"/>
    </row>
    <row r="450" spans="1:6" x14ac:dyDescent="0.25">
      <c r="A450" s="2" t="s">
        <v>2</v>
      </c>
      <c r="B450" s="2" t="s">
        <v>3</v>
      </c>
      <c r="C450" s="2" t="s">
        <v>4</v>
      </c>
      <c r="D450" s="2" t="s">
        <v>5</v>
      </c>
      <c r="E450" s="2" t="s">
        <v>6</v>
      </c>
      <c r="F450" s="2" t="s">
        <v>7</v>
      </c>
    </row>
    <row r="451" spans="1:6" x14ac:dyDescent="0.25">
      <c r="A451" s="16" t="s">
        <v>159</v>
      </c>
      <c r="B451" s="12"/>
      <c r="C451" s="12"/>
      <c r="D451" s="13"/>
      <c r="E451" s="13"/>
      <c r="F451" s="13">
        <v>571</v>
      </c>
    </row>
    <row r="452" spans="1:6" x14ac:dyDescent="0.25">
      <c r="A452" s="16"/>
      <c r="B452" s="12"/>
      <c r="C452" s="12"/>
      <c r="D452" s="13"/>
      <c r="E452" s="13"/>
      <c r="F452" s="13"/>
    </row>
    <row r="453" spans="1:6" x14ac:dyDescent="0.25">
      <c r="A453" s="16"/>
      <c r="B453" s="12"/>
      <c r="C453" s="12"/>
      <c r="D453" s="12"/>
      <c r="E453" s="12"/>
      <c r="F453" s="12"/>
    </row>
    <row r="454" spans="1:6" x14ac:dyDescent="0.25">
      <c r="A454" s="244" t="s">
        <v>70</v>
      </c>
      <c r="B454" s="244"/>
      <c r="C454" s="244"/>
      <c r="D454" s="244"/>
      <c r="E454" s="244"/>
      <c r="F454" s="20">
        <f>SUM(F451:F453)</f>
        <v>571</v>
      </c>
    </row>
    <row r="455" spans="1:6" x14ac:dyDescent="0.25">
      <c r="A455" s="27"/>
      <c r="B455" s="28"/>
      <c r="C455" s="28"/>
      <c r="D455" s="28"/>
      <c r="E455" s="28"/>
      <c r="F455" s="29"/>
    </row>
    <row r="456" spans="1:6" x14ac:dyDescent="0.25">
      <c r="A456" s="244" t="s">
        <v>160</v>
      </c>
      <c r="B456" s="244"/>
      <c r="C456" s="244"/>
      <c r="D456" s="244"/>
      <c r="E456" s="244"/>
      <c r="F456" s="244"/>
    </row>
    <row r="457" spans="1:6" x14ac:dyDescent="0.25">
      <c r="A457" s="2" t="s">
        <v>2</v>
      </c>
      <c r="B457" s="2" t="s">
        <v>3</v>
      </c>
      <c r="C457" s="2" t="s">
        <v>4</v>
      </c>
      <c r="D457" s="2" t="s">
        <v>5</v>
      </c>
      <c r="E457" s="2" t="s">
        <v>6</v>
      </c>
      <c r="F457" s="2" t="s">
        <v>7</v>
      </c>
    </row>
    <row r="458" spans="1:6" x14ac:dyDescent="0.25">
      <c r="A458" s="16" t="s">
        <v>159</v>
      </c>
      <c r="B458" s="12"/>
      <c r="C458" s="12"/>
      <c r="D458" s="13"/>
      <c r="E458" s="13"/>
      <c r="F458" s="13">
        <v>571</v>
      </c>
    </row>
    <row r="459" spans="1:6" x14ac:dyDescent="0.25">
      <c r="A459" s="16"/>
      <c r="B459" s="12"/>
      <c r="C459" s="12"/>
      <c r="D459" s="13"/>
      <c r="E459" s="13"/>
      <c r="F459" s="13"/>
    </row>
    <row r="460" spans="1:6" x14ac:dyDescent="0.25">
      <c r="A460" s="16"/>
      <c r="B460" s="12"/>
      <c r="C460" s="12"/>
      <c r="D460" s="12"/>
      <c r="E460" s="12"/>
      <c r="F460" s="12"/>
    </row>
    <row r="461" spans="1:6" x14ac:dyDescent="0.25">
      <c r="A461" s="244" t="s">
        <v>70</v>
      </c>
      <c r="B461" s="244"/>
      <c r="C461" s="244"/>
      <c r="D461" s="244"/>
      <c r="E461" s="244"/>
      <c r="F461" s="20">
        <f>SUM(F458:F460)</f>
        <v>571</v>
      </c>
    </row>
    <row r="462" spans="1:6" x14ac:dyDescent="0.25">
      <c r="A462" s="27"/>
      <c r="B462" s="28"/>
      <c r="C462" s="28"/>
      <c r="D462" s="28"/>
      <c r="E462" s="28"/>
      <c r="F462" s="29"/>
    </row>
    <row r="463" spans="1:6" x14ac:dyDescent="0.25">
      <c r="A463" s="244" t="s">
        <v>161</v>
      </c>
      <c r="B463" s="244"/>
      <c r="C463" s="244"/>
      <c r="D463" s="244"/>
      <c r="E463" s="244"/>
      <c r="F463" s="244"/>
    </row>
    <row r="464" spans="1:6" x14ac:dyDescent="0.25">
      <c r="A464" s="2" t="s">
        <v>2</v>
      </c>
      <c r="B464" s="2" t="s">
        <v>3</v>
      </c>
      <c r="C464" s="2" t="s">
        <v>4</v>
      </c>
      <c r="D464" s="2" t="s">
        <v>5</v>
      </c>
      <c r="E464" s="2" t="s">
        <v>6</v>
      </c>
      <c r="F464" s="2" t="s">
        <v>7</v>
      </c>
    </row>
    <row r="465" spans="1:6" x14ac:dyDescent="0.25">
      <c r="A465" s="16" t="s">
        <v>159</v>
      </c>
      <c r="B465" s="12"/>
      <c r="C465" s="12"/>
      <c r="D465" s="13"/>
      <c r="E465" s="13"/>
      <c r="F465" s="13">
        <v>571</v>
      </c>
    </row>
    <row r="466" spans="1:6" x14ac:dyDescent="0.25">
      <c r="A466" s="16"/>
      <c r="B466" s="12"/>
      <c r="C466" s="12"/>
      <c r="D466" s="13"/>
      <c r="E466" s="13"/>
      <c r="F466" s="13"/>
    </row>
    <row r="467" spans="1:6" x14ac:dyDescent="0.25">
      <c r="A467" s="16"/>
      <c r="B467" s="12"/>
      <c r="C467" s="12"/>
      <c r="D467" s="12"/>
      <c r="E467" s="12"/>
      <c r="F467" s="12"/>
    </row>
    <row r="468" spans="1:6" x14ac:dyDescent="0.25">
      <c r="A468" s="244" t="s">
        <v>70</v>
      </c>
      <c r="B468" s="244"/>
      <c r="C468" s="244"/>
      <c r="D468" s="244"/>
      <c r="E468" s="244"/>
      <c r="F468" s="20">
        <f>SUM(F465:F467)</f>
        <v>571</v>
      </c>
    </row>
    <row r="469" spans="1:6" x14ac:dyDescent="0.25">
      <c r="A469" s="27"/>
      <c r="B469" s="28"/>
      <c r="C469" s="28"/>
      <c r="D469" s="28"/>
      <c r="E469" s="28"/>
      <c r="F469" s="29"/>
    </row>
    <row r="470" spans="1:6" x14ac:dyDescent="0.25">
      <c r="A470" s="244" t="s">
        <v>162</v>
      </c>
      <c r="B470" s="244"/>
      <c r="C470" s="244"/>
      <c r="D470" s="244"/>
      <c r="E470" s="244"/>
      <c r="F470" s="244"/>
    </row>
    <row r="471" spans="1:6" x14ac:dyDescent="0.25">
      <c r="A471" s="2" t="s">
        <v>2</v>
      </c>
      <c r="B471" s="2" t="s">
        <v>3</v>
      </c>
      <c r="C471" s="2" t="s">
        <v>163</v>
      </c>
      <c r="D471" s="2" t="s">
        <v>5</v>
      </c>
      <c r="E471" s="2" t="s">
        <v>6</v>
      </c>
      <c r="F471" s="2" t="s">
        <v>7</v>
      </c>
    </row>
    <row r="472" spans="1:6" x14ac:dyDescent="0.25">
      <c r="A472" s="16" t="s">
        <v>88</v>
      </c>
      <c r="B472" s="12">
        <v>4</v>
      </c>
      <c r="C472" s="12">
        <v>26.05</v>
      </c>
      <c r="D472" s="13"/>
      <c r="E472" s="13"/>
      <c r="F472" s="13">
        <f>B472*C472</f>
        <v>104.2</v>
      </c>
    </row>
    <row r="473" spans="1:6" x14ac:dyDescent="0.25">
      <c r="A473" s="16" t="s">
        <v>88</v>
      </c>
      <c r="B473" s="12">
        <v>6</v>
      </c>
      <c r="C473" s="12">
        <v>5.32</v>
      </c>
      <c r="D473" s="13"/>
      <c r="E473" s="13"/>
      <c r="F473" s="13">
        <f>B473*C473</f>
        <v>31.92</v>
      </c>
    </row>
    <row r="474" spans="1:6" x14ac:dyDescent="0.25">
      <c r="A474" s="16" t="s">
        <v>86</v>
      </c>
      <c r="B474" s="12">
        <v>1</v>
      </c>
      <c r="C474" s="12">
        <v>130</v>
      </c>
      <c r="D474" s="13"/>
      <c r="E474" s="13"/>
      <c r="F474" s="13">
        <f>B474*C474</f>
        <v>130</v>
      </c>
    </row>
    <row r="475" spans="1:6" ht="17.25" customHeight="1" x14ac:dyDescent="0.25">
      <c r="A475" s="34" t="s">
        <v>84</v>
      </c>
      <c r="B475" s="35">
        <v>1</v>
      </c>
      <c r="C475" s="18">
        <v>85</v>
      </c>
      <c r="D475" s="18"/>
      <c r="E475" s="18">
        <f>0.4*2</f>
        <v>0.8</v>
      </c>
      <c r="F475" s="18">
        <f>B475*C475*E475</f>
        <v>68</v>
      </c>
    </row>
    <row r="476" spans="1:6" x14ac:dyDescent="0.25">
      <c r="A476" s="34" t="s">
        <v>85</v>
      </c>
      <c r="B476" s="35">
        <v>1</v>
      </c>
      <c r="C476" s="18">
        <v>85</v>
      </c>
      <c r="D476" s="18">
        <v>0.4</v>
      </c>
      <c r="E476" s="35"/>
      <c r="F476" s="18">
        <f>B476*C476*D476</f>
        <v>34</v>
      </c>
    </row>
    <row r="477" spans="1:6" x14ac:dyDescent="0.25">
      <c r="A477" s="244" t="s">
        <v>70</v>
      </c>
      <c r="B477" s="244"/>
      <c r="C477" s="244"/>
      <c r="D477" s="244"/>
      <c r="E477" s="244"/>
      <c r="F477" s="20">
        <f>SUM(F472:F476)</f>
        <v>368.12</v>
      </c>
    </row>
    <row r="478" spans="1:6" x14ac:dyDescent="0.25">
      <c r="A478" s="27"/>
      <c r="B478" s="28"/>
      <c r="C478" s="28"/>
      <c r="D478" s="28"/>
      <c r="E478" s="28"/>
      <c r="F478" s="29"/>
    </row>
    <row r="479" spans="1:6" x14ac:dyDescent="0.25">
      <c r="A479" s="244" t="s">
        <v>164</v>
      </c>
      <c r="B479" s="244"/>
      <c r="C479" s="244"/>
      <c r="D479" s="244"/>
      <c r="E479" s="244"/>
      <c r="F479" s="244"/>
    </row>
    <row r="480" spans="1:6" x14ac:dyDescent="0.25">
      <c r="A480" s="2" t="s">
        <v>2</v>
      </c>
      <c r="B480" s="2" t="s">
        <v>165</v>
      </c>
      <c r="C480" s="248" t="s">
        <v>21</v>
      </c>
      <c r="D480" s="248"/>
      <c r="E480" s="248"/>
      <c r="F480" s="2" t="s">
        <v>7</v>
      </c>
    </row>
    <row r="481" spans="1:6" x14ac:dyDescent="0.25">
      <c r="A481" s="16" t="s">
        <v>110</v>
      </c>
      <c r="B481" s="2" t="s">
        <v>166</v>
      </c>
      <c r="C481" s="248" t="s">
        <v>167</v>
      </c>
      <c r="D481" s="248"/>
      <c r="E481" s="248"/>
      <c r="F481" s="13">
        <v>1</v>
      </c>
    </row>
    <row r="482" spans="1:6" x14ac:dyDescent="0.25">
      <c r="A482" s="16" t="s">
        <v>168</v>
      </c>
      <c r="B482" s="2" t="s">
        <v>169</v>
      </c>
      <c r="C482" s="248" t="s">
        <v>170</v>
      </c>
      <c r="D482" s="248"/>
      <c r="E482" s="248"/>
      <c r="F482" s="13">
        <v>3</v>
      </c>
    </row>
    <row r="483" spans="1:6" x14ac:dyDescent="0.25">
      <c r="A483" s="16" t="s">
        <v>110</v>
      </c>
      <c r="B483" s="2" t="s">
        <v>171</v>
      </c>
      <c r="C483" s="248" t="s">
        <v>172</v>
      </c>
      <c r="D483" s="248"/>
      <c r="E483" s="248"/>
      <c r="F483" s="13">
        <v>1</v>
      </c>
    </row>
    <row r="484" spans="1:6" x14ac:dyDescent="0.25">
      <c r="A484" s="16" t="s">
        <v>168</v>
      </c>
      <c r="B484" s="2" t="s">
        <v>173</v>
      </c>
      <c r="C484" s="248" t="s">
        <v>174</v>
      </c>
      <c r="D484" s="248"/>
      <c r="E484" s="248"/>
      <c r="F484" s="13">
        <v>3</v>
      </c>
    </row>
    <row r="485" spans="1:6" x14ac:dyDescent="0.25">
      <c r="A485" s="16"/>
      <c r="B485" s="2"/>
      <c r="C485" s="248"/>
      <c r="D485" s="248"/>
      <c r="E485" s="248"/>
      <c r="F485" s="13"/>
    </row>
    <row r="486" spans="1:6" x14ac:dyDescent="0.25">
      <c r="A486" s="27"/>
      <c r="B486" s="28"/>
      <c r="C486" s="28"/>
      <c r="D486" s="28"/>
      <c r="E486" s="28"/>
      <c r="F486" s="29"/>
    </row>
    <row r="487" spans="1:6" x14ac:dyDescent="0.25">
      <c r="A487" s="244" t="s">
        <v>175</v>
      </c>
      <c r="B487" s="244"/>
      <c r="C487" s="244"/>
      <c r="D487" s="244"/>
      <c r="E487" s="244"/>
      <c r="F487" s="244"/>
    </row>
    <row r="488" spans="1:6" x14ac:dyDescent="0.25">
      <c r="A488" s="2" t="s">
        <v>2</v>
      </c>
      <c r="B488" s="2" t="s">
        <v>165</v>
      </c>
      <c r="C488" s="248" t="s">
        <v>21</v>
      </c>
      <c r="D488" s="248"/>
      <c r="E488" s="248"/>
      <c r="F488" s="2" t="s">
        <v>7</v>
      </c>
    </row>
    <row r="489" spans="1:6" x14ac:dyDescent="0.25">
      <c r="A489" s="16" t="s">
        <v>176</v>
      </c>
      <c r="B489" s="2" t="s">
        <v>177</v>
      </c>
      <c r="C489" s="248" t="s">
        <v>178</v>
      </c>
      <c r="D489" s="248"/>
      <c r="E489" s="248"/>
      <c r="F489" s="13">
        <f>3+5</f>
        <v>8</v>
      </c>
    </row>
    <row r="490" spans="1:6" x14ac:dyDescent="0.25">
      <c r="A490" s="16" t="s">
        <v>110</v>
      </c>
      <c r="B490" s="2" t="s">
        <v>177</v>
      </c>
      <c r="C490" s="248" t="s">
        <v>178</v>
      </c>
      <c r="D490" s="248"/>
      <c r="E490" s="248"/>
      <c r="F490" s="13">
        <v>1</v>
      </c>
    </row>
    <row r="491" spans="1:6" x14ac:dyDescent="0.25">
      <c r="A491" s="16" t="s">
        <v>143</v>
      </c>
      <c r="B491" s="2" t="s">
        <v>179</v>
      </c>
      <c r="C491" s="248" t="s">
        <v>180</v>
      </c>
      <c r="D491" s="248"/>
      <c r="E491" s="248"/>
      <c r="F491" s="13">
        <v>2</v>
      </c>
    </row>
    <row r="492" spans="1:6" x14ac:dyDescent="0.25">
      <c r="A492" s="16" t="s">
        <v>181</v>
      </c>
      <c r="B492" s="2" t="s">
        <v>182</v>
      </c>
      <c r="C492" s="248" t="s">
        <v>183</v>
      </c>
      <c r="D492" s="248"/>
      <c r="E492" s="248"/>
      <c r="F492" s="13">
        <f>F489+F490+F491</f>
        <v>11</v>
      </c>
    </row>
    <row r="493" spans="1:6" x14ac:dyDescent="0.25">
      <c r="A493" s="16" t="s">
        <v>176</v>
      </c>
      <c r="B493" s="2" t="s">
        <v>184</v>
      </c>
      <c r="C493" s="248" t="s">
        <v>185</v>
      </c>
      <c r="D493" s="248"/>
      <c r="E493" s="248"/>
      <c r="F493" s="13">
        <v>6</v>
      </c>
    </row>
    <row r="494" spans="1:6" x14ac:dyDescent="0.25">
      <c r="A494" s="30" t="s">
        <v>110</v>
      </c>
      <c r="B494" s="2" t="s">
        <v>186</v>
      </c>
      <c r="C494" s="248" t="s">
        <v>187</v>
      </c>
      <c r="D494" s="248"/>
      <c r="E494" s="248"/>
      <c r="F494" s="13">
        <v>1</v>
      </c>
    </row>
    <row r="495" spans="1:6" x14ac:dyDescent="0.25">
      <c r="A495" s="30" t="s">
        <v>110</v>
      </c>
      <c r="B495" s="2" t="s">
        <v>188</v>
      </c>
      <c r="C495" s="248" t="s">
        <v>189</v>
      </c>
      <c r="D495" s="248"/>
      <c r="E495" s="248"/>
      <c r="F495" s="13">
        <v>1</v>
      </c>
    </row>
    <row r="496" spans="1:6" x14ac:dyDescent="0.25">
      <c r="A496" s="16" t="s">
        <v>176</v>
      </c>
      <c r="B496" s="2" t="s">
        <v>190</v>
      </c>
      <c r="C496" s="248" t="s">
        <v>191</v>
      </c>
      <c r="D496" s="248"/>
      <c r="E496" s="248"/>
      <c r="F496" s="13">
        <v>6</v>
      </c>
    </row>
    <row r="497" spans="1:6" x14ac:dyDescent="0.25">
      <c r="A497" s="16" t="s">
        <v>192</v>
      </c>
      <c r="B497" s="2" t="s">
        <v>193</v>
      </c>
      <c r="C497" s="248" t="s">
        <v>194</v>
      </c>
      <c r="D497" s="248"/>
      <c r="E497" s="248"/>
      <c r="F497" s="13">
        <f>2+2</f>
        <v>4</v>
      </c>
    </row>
    <row r="498" spans="1:6" x14ac:dyDescent="0.25">
      <c r="A498" s="16" t="s">
        <v>176</v>
      </c>
      <c r="B498" s="2" t="s">
        <v>195</v>
      </c>
      <c r="C498" s="248" t="s">
        <v>196</v>
      </c>
      <c r="D498" s="248"/>
      <c r="E498" s="248"/>
      <c r="F498" s="13">
        <v>4</v>
      </c>
    </row>
    <row r="499" spans="1:6" x14ac:dyDescent="0.25">
      <c r="A499" s="30" t="s">
        <v>197</v>
      </c>
      <c r="B499" s="2" t="s">
        <v>198</v>
      </c>
      <c r="C499" s="248" t="s">
        <v>199</v>
      </c>
      <c r="D499" s="248"/>
      <c r="E499" s="248"/>
      <c r="F499" s="13">
        <v>11</v>
      </c>
    </row>
    <row r="500" spans="1:6" x14ac:dyDescent="0.25">
      <c r="A500" s="30" t="s">
        <v>197</v>
      </c>
      <c r="B500" s="2" t="s">
        <v>200</v>
      </c>
      <c r="C500" s="248" t="s">
        <v>201</v>
      </c>
      <c r="D500" s="248"/>
      <c r="E500" s="248"/>
      <c r="F500" s="13">
        <v>7</v>
      </c>
    </row>
    <row r="501" spans="1:6" x14ac:dyDescent="0.25">
      <c r="A501" s="30" t="s">
        <v>197</v>
      </c>
      <c r="B501" s="2" t="s">
        <v>202</v>
      </c>
      <c r="C501" s="248" t="s">
        <v>203</v>
      </c>
      <c r="D501" s="248"/>
      <c r="E501" s="248"/>
      <c r="F501" s="13">
        <v>10</v>
      </c>
    </row>
    <row r="502" spans="1:6" x14ac:dyDescent="0.25">
      <c r="A502" s="16" t="s">
        <v>130</v>
      </c>
      <c r="B502" s="2" t="s">
        <v>204</v>
      </c>
      <c r="C502" s="248" t="s">
        <v>205</v>
      </c>
      <c r="D502" s="248"/>
      <c r="E502" s="248"/>
      <c r="F502" s="13">
        <v>5</v>
      </c>
    </row>
    <row r="503" spans="1:6" x14ac:dyDescent="0.25">
      <c r="A503" s="16" t="s">
        <v>130</v>
      </c>
      <c r="B503" s="2" t="s">
        <v>206</v>
      </c>
      <c r="C503" s="248" t="s">
        <v>207</v>
      </c>
      <c r="D503" s="248"/>
      <c r="E503" s="248"/>
      <c r="F503" s="13">
        <v>5</v>
      </c>
    </row>
    <row r="504" spans="1:6" x14ac:dyDescent="0.25">
      <c r="A504" s="16" t="s">
        <v>143</v>
      </c>
      <c r="B504" s="2" t="s">
        <v>208</v>
      </c>
      <c r="C504" s="245" t="s">
        <v>209</v>
      </c>
      <c r="D504" s="245"/>
      <c r="E504" s="245"/>
      <c r="F504" s="13">
        <v>4</v>
      </c>
    </row>
    <row r="505" spans="1:6" x14ac:dyDescent="0.25">
      <c r="A505" s="27"/>
      <c r="B505" s="28"/>
      <c r="C505" s="28"/>
      <c r="D505" s="28"/>
      <c r="E505" s="28"/>
      <c r="F505" s="29"/>
    </row>
    <row r="506" spans="1:6" x14ac:dyDescent="0.25">
      <c r="A506" s="244" t="s">
        <v>210</v>
      </c>
      <c r="B506" s="244"/>
      <c r="C506" s="244"/>
      <c r="D506" s="244"/>
      <c r="E506" s="244"/>
      <c r="F506" s="244"/>
    </row>
    <row r="507" spans="1:6" x14ac:dyDescent="0.25">
      <c r="A507" s="2" t="s">
        <v>2</v>
      </c>
      <c r="B507" s="2" t="s">
        <v>3</v>
      </c>
      <c r="C507" s="2" t="s">
        <v>4</v>
      </c>
      <c r="D507" s="2" t="s">
        <v>5</v>
      </c>
      <c r="E507" s="2" t="s">
        <v>6</v>
      </c>
      <c r="F507" s="2" t="s">
        <v>7</v>
      </c>
    </row>
    <row r="508" spans="1:6" x14ac:dyDescent="0.25">
      <c r="A508" s="16" t="s">
        <v>130</v>
      </c>
      <c r="B508" s="12">
        <v>1</v>
      </c>
      <c r="C508" s="13">
        <v>3</v>
      </c>
      <c r="D508" s="13"/>
      <c r="E508" s="13">
        <v>1.2</v>
      </c>
      <c r="F508" s="13">
        <f>B508*C508*E508</f>
        <v>3.5999999999999996</v>
      </c>
    </row>
    <row r="509" spans="1:6" x14ac:dyDescent="0.25">
      <c r="A509" s="16" t="s">
        <v>129</v>
      </c>
      <c r="B509" s="35">
        <v>1</v>
      </c>
      <c r="C509" s="18">
        <v>3</v>
      </c>
      <c r="D509" s="13"/>
      <c r="E509" s="13">
        <v>1.2</v>
      </c>
      <c r="F509" s="13">
        <f>B509*C509*E509</f>
        <v>3.5999999999999996</v>
      </c>
    </row>
    <row r="510" spans="1:6" x14ac:dyDescent="0.25">
      <c r="A510" s="34" t="s">
        <v>110</v>
      </c>
      <c r="B510" s="35">
        <v>1</v>
      </c>
      <c r="C510" s="18">
        <v>0.5</v>
      </c>
      <c r="D510" s="18"/>
      <c r="E510" s="18">
        <v>0.7</v>
      </c>
      <c r="F510" s="13">
        <f>B510*C510*E510</f>
        <v>0.35</v>
      </c>
    </row>
    <row r="511" spans="1:6" x14ac:dyDescent="0.25">
      <c r="A511" s="16" t="s">
        <v>143</v>
      </c>
      <c r="B511" s="35">
        <v>2</v>
      </c>
      <c r="C511" s="18">
        <v>0.5</v>
      </c>
      <c r="D511" s="12"/>
      <c r="E511" s="18">
        <v>0.7</v>
      </c>
      <c r="F511" s="13">
        <f>B511*C511*E511</f>
        <v>0.7</v>
      </c>
    </row>
    <row r="512" spans="1:6" x14ac:dyDescent="0.25">
      <c r="A512" s="244" t="s">
        <v>70</v>
      </c>
      <c r="B512" s="244"/>
      <c r="C512" s="244"/>
      <c r="D512" s="244"/>
      <c r="E512" s="244"/>
      <c r="F512" s="20">
        <f>SUM(F508:F511)</f>
        <v>8.2499999999999982</v>
      </c>
    </row>
    <row r="513" spans="1:6" x14ac:dyDescent="0.25">
      <c r="A513" s="27"/>
      <c r="B513" s="28"/>
      <c r="C513" s="28"/>
      <c r="D513" s="28"/>
      <c r="E513" s="28"/>
      <c r="F513" s="29"/>
    </row>
    <row r="514" spans="1:6" x14ac:dyDescent="0.25">
      <c r="A514" s="244" t="s">
        <v>211</v>
      </c>
      <c r="B514" s="244"/>
      <c r="C514" s="244"/>
      <c r="D514" s="244"/>
      <c r="E514" s="244"/>
      <c r="F514" s="244"/>
    </row>
    <row r="515" spans="1:6" x14ac:dyDescent="0.25">
      <c r="A515" s="2" t="s">
        <v>2</v>
      </c>
      <c r="B515" s="2" t="s">
        <v>3</v>
      </c>
      <c r="C515" s="2" t="s">
        <v>4</v>
      </c>
      <c r="D515" s="2" t="s">
        <v>5</v>
      </c>
      <c r="E515" s="2" t="s">
        <v>6</v>
      </c>
      <c r="F515" s="2" t="s">
        <v>7</v>
      </c>
    </row>
    <row r="516" spans="1:6" x14ac:dyDescent="0.25">
      <c r="A516" s="16" t="s">
        <v>130</v>
      </c>
      <c r="B516" s="12">
        <v>1</v>
      </c>
      <c r="C516" s="13">
        <v>3</v>
      </c>
      <c r="D516" s="13">
        <v>0.6</v>
      </c>
      <c r="E516" s="13"/>
      <c r="F516" s="13">
        <f>B516*C516*D516</f>
        <v>1.7999999999999998</v>
      </c>
    </row>
    <row r="517" spans="1:6" x14ac:dyDescent="0.25">
      <c r="A517" s="16" t="s">
        <v>129</v>
      </c>
      <c r="B517" s="35">
        <v>1</v>
      </c>
      <c r="C517" s="18">
        <v>3</v>
      </c>
      <c r="D517" s="13">
        <v>0.6</v>
      </c>
      <c r="E517" s="18"/>
      <c r="F517" s="13">
        <f>B517*C517*D517</f>
        <v>1.7999999999999998</v>
      </c>
    </row>
    <row r="518" spans="1:6" x14ac:dyDescent="0.25">
      <c r="A518" s="16"/>
      <c r="B518" s="12"/>
      <c r="C518" s="12"/>
      <c r="D518" s="12"/>
      <c r="E518" s="12"/>
      <c r="F518" s="12"/>
    </row>
    <row r="519" spans="1:6" x14ac:dyDescent="0.25">
      <c r="A519" s="244" t="s">
        <v>70</v>
      </c>
      <c r="B519" s="244"/>
      <c r="C519" s="244"/>
      <c r="D519" s="244"/>
      <c r="E519" s="244"/>
      <c r="F519" s="20">
        <f>SUM(F516:F518)</f>
        <v>3.5999999999999996</v>
      </c>
    </row>
    <row r="520" spans="1:6" x14ac:dyDescent="0.25">
      <c r="A520" s="27"/>
      <c r="B520" s="28"/>
      <c r="C520" s="28"/>
      <c r="D520" s="28"/>
      <c r="E520" s="28"/>
      <c r="F520" s="29"/>
    </row>
    <row r="521" spans="1:6" x14ac:dyDescent="0.25">
      <c r="A521" s="244" t="s">
        <v>212</v>
      </c>
      <c r="B521" s="244"/>
      <c r="C521" s="244"/>
      <c r="D521" s="244"/>
      <c r="E521" s="244"/>
      <c r="F521" s="244"/>
    </row>
    <row r="522" spans="1:6" x14ac:dyDescent="0.25">
      <c r="A522" s="2" t="s">
        <v>2</v>
      </c>
      <c r="B522" s="2" t="s">
        <v>3</v>
      </c>
      <c r="C522" s="2" t="s">
        <v>4</v>
      </c>
      <c r="D522" s="2" t="s">
        <v>5</v>
      </c>
      <c r="E522" s="2" t="s">
        <v>6</v>
      </c>
      <c r="F522" s="2" t="s">
        <v>7</v>
      </c>
    </row>
    <row r="523" spans="1:6" x14ac:dyDescent="0.25">
      <c r="A523" s="16" t="s">
        <v>130</v>
      </c>
      <c r="B523" s="12">
        <v>2</v>
      </c>
      <c r="C523" s="13">
        <v>3.6</v>
      </c>
      <c r="D523" s="13"/>
      <c r="E523" s="13"/>
      <c r="F523" s="13">
        <f>B523*C523</f>
        <v>7.2</v>
      </c>
    </row>
    <row r="524" spans="1:6" x14ac:dyDescent="0.25">
      <c r="A524" s="16" t="s">
        <v>129</v>
      </c>
      <c r="B524" s="35">
        <v>2</v>
      </c>
      <c r="C524" s="13">
        <f>3+0.6</f>
        <v>3.6</v>
      </c>
      <c r="D524" s="13"/>
      <c r="E524" s="18"/>
      <c r="F524" s="13">
        <f>B524*C524</f>
        <v>7.2</v>
      </c>
    </row>
    <row r="525" spans="1:6" x14ac:dyDescent="0.25">
      <c r="A525" s="16"/>
      <c r="B525" s="12"/>
      <c r="C525" s="13"/>
      <c r="D525" s="12"/>
      <c r="E525" s="12"/>
      <c r="F525" s="13">
        <f>B525*C525</f>
        <v>0</v>
      </c>
    </row>
    <row r="526" spans="1:6" x14ac:dyDescent="0.25">
      <c r="A526" s="244" t="s">
        <v>9</v>
      </c>
      <c r="B526" s="244"/>
      <c r="C526" s="244"/>
      <c r="D526" s="244"/>
      <c r="E526" s="244"/>
      <c r="F526" s="20">
        <f>SUM(F523:F525)</f>
        <v>14.4</v>
      </c>
    </row>
    <row r="527" spans="1:6" x14ac:dyDescent="0.25">
      <c r="A527" s="27"/>
      <c r="B527" s="28"/>
      <c r="C527" s="28"/>
      <c r="D527" s="28"/>
      <c r="E527" s="28"/>
      <c r="F527" s="29"/>
    </row>
    <row r="528" spans="1:6" x14ac:dyDescent="0.25">
      <c r="A528" s="244" t="s">
        <v>213</v>
      </c>
      <c r="B528" s="244"/>
      <c r="C528" s="244"/>
      <c r="D528" s="244"/>
      <c r="E528" s="244"/>
      <c r="F528" s="244"/>
    </row>
    <row r="529" spans="1:6" x14ac:dyDescent="0.25">
      <c r="A529" s="2" t="s">
        <v>2</v>
      </c>
      <c r="B529" s="2" t="s">
        <v>3</v>
      </c>
      <c r="C529" s="2" t="s">
        <v>4</v>
      </c>
      <c r="D529" s="2" t="s">
        <v>5</v>
      </c>
      <c r="E529" s="2" t="s">
        <v>6</v>
      </c>
      <c r="F529" s="2" t="s">
        <v>7</v>
      </c>
    </row>
    <row r="530" spans="1:6" x14ac:dyDescent="0.25">
      <c r="A530" s="16" t="s">
        <v>214</v>
      </c>
      <c r="B530" s="12">
        <v>2</v>
      </c>
      <c r="C530" s="13">
        <f>1.7+0.15+1.2</f>
        <v>3.05</v>
      </c>
      <c r="D530" s="13"/>
      <c r="E530" s="13">
        <v>2.4</v>
      </c>
      <c r="F530" s="13">
        <f t="shared" ref="F530:F537" si="9">B530*C530*E530</f>
        <v>14.639999999999999</v>
      </c>
    </row>
    <row r="531" spans="1:6" x14ac:dyDescent="0.25">
      <c r="A531" s="16" t="s">
        <v>214</v>
      </c>
      <c r="B531" s="12">
        <v>1</v>
      </c>
      <c r="C531" s="13">
        <f>1.7*2+0.15</f>
        <v>3.55</v>
      </c>
      <c r="D531" s="13"/>
      <c r="E531" s="13">
        <v>2.4</v>
      </c>
      <c r="F531" s="13">
        <f t="shared" si="9"/>
        <v>8.52</v>
      </c>
    </row>
    <row r="532" spans="1:6" x14ac:dyDescent="0.25">
      <c r="A532" s="16" t="s">
        <v>214</v>
      </c>
      <c r="B532" s="12">
        <v>2</v>
      </c>
      <c r="C532" s="13">
        <v>0.5</v>
      </c>
      <c r="D532" s="13"/>
      <c r="E532" s="13">
        <v>2.4</v>
      </c>
      <c r="F532" s="13">
        <f t="shared" si="9"/>
        <v>2.4</v>
      </c>
    </row>
    <row r="533" spans="1:6" x14ac:dyDescent="0.25">
      <c r="A533" s="16" t="s">
        <v>109</v>
      </c>
      <c r="B533" s="12">
        <v>2</v>
      </c>
      <c r="C533" s="13">
        <v>3.5</v>
      </c>
      <c r="D533" s="13"/>
      <c r="E533" s="13">
        <v>2.4</v>
      </c>
      <c r="F533" s="13">
        <f t="shared" si="9"/>
        <v>16.8</v>
      </c>
    </row>
    <row r="534" spans="1:6" x14ac:dyDescent="0.25">
      <c r="A534" s="16" t="s">
        <v>75</v>
      </c>
      <c r="B534" s="12">
        <v>1</v>
      </c>
      <c r="C534" s="13">
        <v>1.35</v>
      </c>
      <c r="D534" s="13"/>
      <c r="E534" s="13">
        <v>2.4</v>
      </c>
      <c r="F534" s="13">
        <f t="shared" si="9"/>
        <v>3.24</v>
      </c>
    </row>
    <row r="535" spans="1:6" x14ac:dyDescent="0.25">
      <c r="A535" s="16" t="s">
        <v>75</v>
      </c>
      <c r="B535" s="12">
        <v>1</v>
      </c>
      <c r="C535" s="13">
        <v>1.65</v>
      </c>
      <c r="D535" s="13"/>
      <c r="E535" s="13">
        <v>2.4</v>
      </c>
      <c r="F535" s="13">
        <f t="shared" si="9"/>
        <v>3.9599999999999995</v>
      </c>
    </row>
    <row r="536" spans="1:6" x14ac:dyDescent="0.25">
      <c r="A536" s="16" t="s">
        <v>215</v>
      </c>
      <c r="B536" s="12">
        <v>2</v>
      </c>
      <c r="C536" s="13">
        <v>1.8</v>
      </c>
      <c r="D536" s="13"/>
      <c r="E536" s="13">
        <v>2.4</v>
      </c>
      <c r="F536" s="13">
        <f t="shared" si="9"/>
        <v>8.64</v>
      </c>
    </row>
    <row r="537" spans="1:6" x14ac:dyDescent="0.25">
      <c r="A537" s="30" t="s">
        <v>79</v>
      </c>
      <c r="B537" s="12">
        <v>2</v>
      </c>
      <c r="C537" s="13">
        <f>3.16+1.356</f>
        <v>4.516</v>
      </c>
      <c r="D537" s="13"/>
      <c r="E537" s="13">
        <v>2.4</v>
      </c>
      <c r="F537" s="13">
        <f t="shared" si="9"/>
        <v>21.6768</v>
      </c>
    </row>
    <row r="538" spans="1:6" x14ac:dyDescent="0.25">
      <c r="A538" s="244" t="s">
        <v>70</v>
      </c>
      <c r="B538" s="244"/>
      <c r="C538" s="244"/>
      <c r="D538" s="244"/>
      <c r="E538" s="244"/>
      <c r="F538" s="20">
        <f>SUM(F530:F537)</f>
        <v>79.876800000000003</v>
      </c>
    </row>
    <row r="539" spans="1:6" x14ac:dyDescent="0.25">
      <c r="A539" s="27"/>
      <c r="B539" s="28"/>
      <c r="C539" s="28"/>
      <c r="D539" s="28"/>
      <c r="E539" s="28"/>
      <c r="F539" s="29"/>
    </row>
    <row r="540" spans="1:6" x14ac:dyDescent="0.25">
      <c r="A540" s="244" t="s">
        <v>216</v>
      </c>
      <c r="B540" s="244"/>
      <c r="C540" s="244"/>
      <c r="D540" s="244"/>
      <c r="E540" s="244"/>
      <c r="F540" s="244"/>
    </row>
    <row r="541" spans="1:6" x14ac:dyDescent="0.25">
      <c r="A541" s="2" t="s">
        <v>2</v>
      </c>
      <c r="B541" s="2" t="s">
        <v>3</v>
      </c>
      <c r="C541" s="2" t="s">
        <v>4</v>
      </c>
      <c r="D541" s="2" t="s">
        <v>5</v>
      </c>
      <c r="E541" s="2" t="s">
        <v>6</v>
      </c>
      <c r="F541" s="2" t="s">
        <v>7</v>
      </c>
    </row>
    <row r="542" spans="1:6" x14ac:dyDescent="0.25">
      <c r="A542" s="53" t="s">
        <v>217</v>
      </c>
      <c r="B542" s="2"/>
      <c r="C542" s="2"/>
      <c r="D542" s="2"/>
      <c r="E542" s="2"/>
      <c r="F542" s="2"/>
    </row>
    <row r="543" spans="1:6" x14ac:dyDescent="0.25">
      <c r="A543" s="16" t="s">
        <v>214</v>
      </c>
      <c r="B543" s="12">
        <v>2</v>
      </c>
      <c r="C543" s="13">
        <f>1.7+0.15+1.2</f>
        <v>3.05</v>
      </c>
      <c r="D543" s="13"/>
      <c r="E543" s="13">
        <v>2.4</v>
      </c>
      <c r="F543" s="13">
        <f t="shared" ref="F543:F550" si="10">B543*C543*E543</f>
        <v>14.639999999999999</v>
      </c>
    </row>
    <row r="544" spans="1:6" x14ac:dyDescent="0.25">
      <c r="A544" s="16" t="s">
        <v>214</v>
      </c>
      <c r="B544" s="12">
        <v>1</v>
      </c>
      <c r="C544" s="13">
        <f>1.7*2+0.15</f>
        <v>3.55</v>
      </c>
      <c r="D544" s="13"/>
      <c r="E544" s="13">
        <v>2.4</v>
      </c>
      <c r="F544" s="13">
        <f t="shared" si="10"/>
        <v>8.52</v>
      </c>
    </row>
    <row r="545" spans="1:6" x14ac:dyDescent="0.25">
      <c r="A545" s="16" t="s">
        <v>214</v>
      </c>
      <c r="B545" s="12">
        <v>2</v>
      </c>
      <c r="C545" s="13">
        <v>0.5</v>
      </c>
      <c r="D545" s="13"/>
      <c r="E545" s="13">
        <v>2.4</v>
      </c>
      <c r="F545" s="13">
        <f t="shared" si="10"/>
        <v>2.4</v>
      </c>
    </row>
    <row r="546" spans="1:6" x14ac:dyDescent="0.25">
      <c r="A546" s="16" t="s">
        <v>109</v>
      </c>
      <c r="B546" s="12">
        <v>2</v>
      </c>
      <c r="C546" s="13">
        <v>3.5</v>
      </c>
      <c r="D546" s="13"/>
      <c r="E546" s="13">
        <v>2.4</v>
      </c>
      <c r="F546" s="13">
        <f t="shared" si="10"/>
        <v>16.8</v>
      </c>
    </row>
    <row r="547" spans="1:6" x14ac:dyDescent="0.25">
      <c r="A547" s="16" t="s">
        <v>75</v>
      </c>
      <c r="B547" s="12">
        <v>1</v>
      </c>
      <c r="C547" s="13">
        <v>1.35</v>
      </c>
      <c r="D547" s="13"/>
      <c r="E547" s="13">
        <v>2.4</v>
      </c>
      <c r="F547" s="13">
        <f t="shared" si="10"/>
        <v>3.24</v>
      </c>
    </row>
    <row r="548" spans="1:6" x14ac:dyDescent="0.25">
      <c r="A548" s="16" t="s">
        <v>75</v>
      </c>
      <c r="B548" s="12">
        <v>1</v>
      </c>
      <c r="C548" s="13">
        <v>1.65</v>
      </c>
      <c r="D548" s="13"/>
      <c r="E548" s="13">
        <v>2.4</v>
      </c>
      <c r="F548" s="13">
        <f t="shared" si="10"/>
        <v>3.9599999999999995</v>
      </c>
    </row>
    <row r="549" spans="1:6" x14ac:dyDescent="0.25">
      <c r="A549" s="16" t="s">
        <v>215</v>
      </c>
      <c r="B549" s="12">
        <v>2</v>
      </c>
      <c r="C549" s="13">
        <v>1.8</v>
      </c>
      <c r="D549" s="13"/>
      <c r="E549" s="13">
        <v>2.4</v>
      </c>
      <c r="F549" s="13">
        <f t="shared" si="10"/>
        <v>8.64</v>
      </c>
    </row>
    <row r="550" spans="1:6" x14ac:dyDescent="0.25">
      <c r="A550" s="30" t="s">
        <v>79</v>
      </c>
      <c r="B550" s="12">
        <v>2</v>
      </c>
      <c r="C550" s="13">
        <f>3.16+1.35</f>
        <v>4.51</v>
      </c>
      <c r="D550" s="13"/>
      <c r="E550" s="13">
        <v>2.4</v>
      </c>
      <c r="F550" s="13">
        <f t="shared" si="10"/>
        <v>21.648</v>
      </c>
    </row>
    <row r="551" spans="1:6" x14ac:dyDescent="0.25">
      <c r="A551" s="1" t="s">
        <v>218</v>
      </c>
      <c r="B551" s="12"/>
      <c r="C551" s="13"/>
      <c r="D551" s="13"/>
      <c r="E551" s="13"/>
      <c r="F551" s="13"/>
    </row>
    <row r="552" spans="1:6" x14ac:dyDescent="0.25">
      <c r="A552" s="3" t="s">
        <v>219</v>
      </c>
      <c r="B552" s="12">
        <v>4</v>
      </c>
      <c r="C552" s="13">
        <v>6.6</v>
      </c>
      <c r="D552" s="13">
        <v>3.5</v>
      </c>
      <c r="E552" s="13"/>
      <c r="F552" s="13">
        <f>B552*C552*D552</f>
        <v>92.399999999999991</v>
      </c>
    </row>
    <row r="553" spans="1:6" x14ac:dyDescent="0.25">
      <c r="A553" s="3" t="s">
        <v>220</v>
      </c>
      <c r="B553" s="12">
        <v>1</v>
      </c>
      <c r="C553" s="13"/>
      <c r="D553" s="13"/>
      <c r="E553" s="13"/>
      <c r="F553" s="13">
        <f>35.5*2</f>
        <v>71</v>
      </c>
    </row>
    <row r="554" spans="1:6" x14ac:dyDescent="0.25">
      <c r="A554" s="16" t="s">
        <v>221</v>
      </c>
      <c r="B554" s="12">
        <v>1</v>
      </c>
      <c r="C554" s="13"/>
      <c r="D554" s="13"/>
      <c r="E554" s="13"/>
      <c r="F554" s="13">
        <v>87.4</v>
      </c>
    </row>
    <row r="555" spans="1:6" x14ac:dyDescent="0.25">
      <c r="A555" s="16" t="s">
        <v>222</v>
      </c>
      <c r="B555" s="12">
        <v>1</v>
      </c>
      <c r="C555" s="13"/>
      <c r="D555" s="13"/>
      <c r="E555" s="13"/>
      <c r="F555" s="13">
        <v>36.380000000000003</v>
      </c>
    </row>
    <row r="556" spans="1:6" x14ac:dyDescent="0.25">
      <c r="A556" s="16" t="s">
        <v>223</v>
      </c>
      <c r="B556" s="12">
        <v>1</v>
      </c>
      <c r="C556" s="13"/>
      <c r="D556" s="13"/>
      <c r="E556" s="13"/>
      <c r="F556" s="13">
        <v>32.26</v>
      </c>
    </row>
    <row r="557" spans="1:6" x14ac:dyDescent="0.25">
      <c r="A557" s="244" t="s">
        <v>70</v>
      </c>
      <c r="B557" s="244"/>
      <c r="C557" s="244"/>
      <c r="D557" s="244"/>
      <c r="E557" s="244"/>
      <c r="F557" s="20">
        <f>SUM(F543:F556)</f>
        <v>399.28800000000001</v>
      </c>
    </row>
    <row r="558" spans="1:6" x14ac:dyDescent="0.25">
      <c r="A558" s="27"/>
      <c r="B558" s="28"/>
      <c r="C558" s="28"/>
      <c r="D558" s="28"/>
      <c r="E558" s="28"/>
      <c r="F558" s="29"/>
    </row>
    <row r="559" spans="1:6" x14ac:dyDescent="0.25">
      <c r="A559" s="244" t="s">
        <v>224</v>
      </c>
      <c r="B559" s="244"/>
      <c r="C559" s="244"/>
      <c r="D559" s="244"/>
      <c r="E559" s="244"/>
      <c r="F559" s="244"/>
    </row>
    <row r="560" spans="1:6" x14ac:dyDescent="0.25">
      <c r="A560" s="2" t="s">
        <v>2</v>
      </c>
      <c r="B560" s="2" t="s">
        <v>3</v>
      </c>
      <c r="C560" s="2" t="s">
        <v>4</v>
      </c>
      <c r="D560" s="2" t="s">
        <v>6</v>
      </c>
      <c r="E560" s="2" t="s">
        <v>225</v>
      </c>
      <c r="F560" s="2" t="s">
        <v>7</v>
      </c>
    </row>
    <row r="561" spans="1:6" x14ac:dyDescent="0.25">
      <c r="A561" s="43" t="s">
        <v>226</v>
      </c>
      <c r="B561" s="2">
        <f>4*6</f>
        <v>24</v>
      </c>
      <c r="C561" s="39">
        <f>0.15*2+0.5*2</f>
        <v>1.3</v>
      </c>
      <c r="D561" s="2">
        <v>4.16</v>
      </c>
      <c r="E561" s="2">
        <v>1</v>
      </c>
      <c r="F561" s="21">
        <f t="shared" ref="F561:F566" si="11">B561*C561*D561*E561</f>
        <v>129.79200000000003</v>
      </c>
    </row>
    <row r="562" spans="1:6" x14ac:dyDescent="0.25">
      <c r="A562" s="43" t="s">
        <v>227</v>
      </c>
      <c r="B562" s="2">
        <f>5*2</f>
        <v>10</v>
      </c>
      <c r="C562" s="39">
        <f>0.15*2+0.5*2</f>
        <v>1.3</v>
      </c>
      <c r="D562" s="2">
        <v>4.16</v>
      </c>
      <c r="E562" s="2">
        <v>1</v>
      </c>
      <c r="F562" s="21">
        <f t="shared" si="11"/>
        <v>54.08</v>
      </c>
    </row>
    <row r="563" spans="1:6" x14ac:dyDescent="0.25">
      <c r="A563" s="43" t="s">
        <v>228</v>
      </c>
      <c r="B563" s="2">
        <v>1</v>
      </c>
      <c r="C563" s="39">
        <v>43.8</v>
      </c>
      <c r="D563" s="39">
        <f>1+3.2</f>
        <v>4.2</v>
      </c>
      <c r="E563" s="2">
        <v>1</v>
      </c>
      <c r="F563" s="21">
        <f t="shared" si="11"/>
        <v>183.96</v>
      </c>
    </row>
    <row r="564" spans="1:6" x14ac:dyDescent="0.25">
      <c r="A564" s="43" t="s">
        <v>229</v>
      </c>
      <c r="B564" s="2">
        <v>4</v>
      </c>
      <c r="C564" s="2">
        <f>3.9+3.15+3.16</f>
        <v>10.210000000000001</v>
      </c>
      <c r="D564" s="2">
        <v>1.26</v>
      </c>
      <c r="E564" s="2">
        <v>3</v>
      </c>
      <c r="F564" s="21">
        <f t="shared" si="11"/>
        <v>154.37520000000001</v>
      </c>
    </row>
    <row r="565" spans="1:6" x14ac:dyDescent="0.25">
      <c r="A565" s="43" t="s">
        <v>230</v>
      </c>
      <c r="B565" s="2">
        <v>2</v>
      </c>
      <c r="C565" s="2">
        <v>3.39</v>
      </c>
      <c r="D565" s="39">
        <v>2.1</v>
      </c>
      <c r="E565" s="2">
        <v>1</v>
      </c>
      <c r="F565" s="21">
        <f t="shared" si="11"/>
        <v>14.238000000000001</v>
      </c>
    </row>
    <row r="566" spans="1:6" x14ac:dyDescent="0.25">
      <c r="A566" s="43" t="s">
        <v>231</v>
      </c>
      <c r="B566" s="2">
        <v>1</v>
      </c>
      <c r="C566" s="2">
        <v>61.5</v>
      </c>
      <c r="D566" s="39">
        <v>1.8</v>
      </c>
      <c r="E566" s="2">
        <v>1</v>
      </c>
      <c r="F566" s="21">
        <f t="shared" si="11"/>
        <v>110.7</v>
      </c>
    </row>
    <row r="567" spans="1:6" x14ac:dyDescent="0.25">
      <c r="A567" s="244" t="s">
        <v>70</v>
      </c>
      <c r="B567" s="244"/>
      <c r="C567" s="244"/>
      <c r="D567" s="244"/>
      <c r="E567" s="244"/>
      <c r="F567" s="20">
        <f>SUM(F561:F566)</f>
        <v>647.14520000000016</v>
      </c>
    </row>
    <row r="568" spans="1:6" x14ac:dyDescent="0.25">
      <c r="A568" s="27"/>
      <c r="B568" s="28"/>
      <c r="C568" s="28"/>
      <c r="D568" s="28"/>
      <c r="E568" s="28"/>
      <c r="F568" s="29"/>
    </row>
    <row r="569" spans="1:6" x14ac:dyDescent="0.25">
      <c r="A569" s="244" t="s">
        <v>232</v>
      </c>
      <c r="B569" s="244"/>
      <c r="C569" s="244"/>
      <c r="D569" s="244"/>
      <c r="E569" s="244"/>
      <c r="F569" s="244"/>
    </row>
    <row r="570" spans="1:6" x14ac:dyDescent="0.25">
      <c r="A570" s="2" t="s">
        <v>2</v>
      </c>
      <c r="B570" s="2" t="s">
        <v>3</v>
      </c>
      <c r="C570" s="2" t="s">
        <v>4</v>
      </c>
      <c r="D570" s="2" t="s">
        <v>6</v>
      </c>
      <c r="E570" s="2" t="s">
        <v>233</v>
      </c>
      <c r="F570" s="2" t="s">
        <v>7</v>
      </c>
    </row>
    <row r="571" spans="1:6" x14ac:dyDescent="0.25">
      <c r="A571" s="2" t="s">
        <v>130</v>
      </c>
      <c r="B571" s="2">
        <v>1</v>
      </c>
      <c r="C571" s="39">
        <v>1</v>
      </c>
      <c r="D571" s="39">
        <v>2.1</v>
      </c>
      <c r="E571" s="2">
        <v>3</v>
      </c>
      <c r="F571" s="21">
        <f t="shared" ref="F571:F577" si="12">B571*C571*D571*E571</f>
        <v>6.3000000000000007</v>
      </c>
    </row>
    <row r="572" spans="1:6" x14ac:dyDescent="0.25">
      <c r="A572" s="2" t="s">
        <v>129</v>
      </c>
      <c r="B572" s="2">
        <v>1</v>
      </c>
      <c r="C572" s="39">
        <v>1</v>
      </c>
      <c r="D572" s="39">
        <v>2.1</v>
      </c>
      <c r="E572" s="2">
        <v>3</v>
      </c>
      <c r="F572" s="21">
        <f t="shared" si="12"/>
        <v>6.3000000000000007</v>
      </c>
    </row>
    <row r="573" spans="1:6" x14ac:dyDescent="0.25">
      <c r="A573" s="2" t="s">
        <v>234</v>
      </c>
      <c r="B573" s="2">
        <v>1</v>
      </c>
      <c r="C573" s="39">
        <v>0.6</v>
      </c>
      <c r="D573" s="39">
        <v>2.1</v>
      </c>
      <c r="E573" s="2">
        <v>3</v>
      </c>
      <c r="F573" s="21">
        <f t="shared" si="12"/>
        <v>3.7800000000000002</v>
      </c>
    </row>
    <row r="574" spans="1:6" x14ac:dyDescent="0.25">
      <c r="A574" s="2" t="s">
        <v>109</v>
      </c>
      <c r="B574" s="2">
        <v>2</v>
      </c>
      <c r="C574" s="39">
        <v>0.8</v>
      </c>
      <c r="D574" s="39">
        <v>2.1</v>
      </c>
      <c r="E574" s="2">
        <v>3</v>
      </c>
      <c r="F574" s="21">
        <f t="shared" si="12"/>
        <v>10.080000000000002</v>
      </c>
    </row>
    <row r="575" spans="1:6" x14ac:dyDescent="0.25">
      <c r="A575" s="2" t="s">
        <v>157</v>
      </c>
      <c r="B575" s="2">
        <v>1</v>
      </c>
      <c r="C575" s="39">
        <v>1</v>
      </c>
      <c r="D575" s="39">
        <v>2.1</v>
      </c>
      <c r="E575" s="2">
        <v>3</v>
      </c>
      <c r="F575" s="21">
        <f t="shared" si="12"/>
        <v>6.3000000000000007</v>
      </c>
    </row>
    <row r="576" spans="1:6" x14ac:dyDescent="0.25">
      <c r="A576" s="2" t="s">
        <v>114</v>
      </c>
      <c r="B576" s="2">
        <v>1</v>
      </c>
      <c r="C576" s="39">
        <v>1</v>
      </c>
      <c r="D576" s="39">
        <v>2.1</v>
      </c>
      <c r="E576" s="2">
        <v>3</v>
      </c>
      <c r="F576" s="21">
        <f t="shared" si="12"/>
        <v>6.3000000000000007</v>
      </c>
    </row>
    <row r="577" spans="1:6" x14ac:dyDescent="0.25">
      <c r="A577" s="2" t="s">
        <v>79</v>
      </c>
      <c r="B577" s="2">
        <v>1</v>
      </c>
      <c r="C577" s="39">
        <v>0.8</v>
      </c>
      <c r="D577" s="39">
        <v>2.1</v>
      </c>
      <c r="E577" s="2">
        <v>3</v>
      </c>
      <c r="F577" s="21">
        <f t="shared" si="12"/>
        <v>5.0400000000000009</v>
      </c>
    </row>
    <row r="578" spans="1:6" x14ac:dyDescent="0.25">
      <c r="A578" s="244" t="s">
        <v>70</v>
      </c>
      <c r="B578" s="244"/>
      <c r="C578" s="244"/>
      <c r="D578" s="244"/>
      <c r="E578" s="244"/>
      <c r="F578" s="20">
        <f>SUM(F571:F577)</f>
        <v>44.1</v>
      </c>
    </row>
    <row r="579" spans="1:6" x14ac:dyDescent="0.25">
      <c r="A579" s="27"/>
      <c r="B579" s="28"/>
      <c r="C579" s="28"/>
      <c r="D579" s="28"/>
      <c r="E579" s="28"/>
      <c r="F579" s="29"/>
    </row>
    <row r="580" spans="1:6" x14ac:dyDescent="0.25">
      <c r="A580" s="244" t="s">
        <v>235</v>
      </c>
      <c r="B580" s="244"/>
      <c r="C580" s="244"/>
      <c r="D580" s="244"/>
      <c r="E580" s="244"/>
      <c r="F580" s="244"/>
    </row>
    <row r="581" spans="1:6" x14ac:dyDescent="0.25">
      <c r="A581" s="2" t="s">
        <v>2</v>
      </c>
      <c r="B581" s="2" t="s">
        <v>3</v>
      </c>
      <c r="C581" s="2" t="s">
        <v>4</v>
      </c>
      <c r="D581" s="2" t="s">
        <v>6</v>
      </c>
      <c r="E581" s="2" t="s">
        <v>233</v>
      </c>
      <c r="F581" s="2" t="s">
        <v>7</v>
      </c>
    </row>
    <row r="582" spans="1:6" x14ac:dyDescent="0.25">
      <c r="A582" s="2" t="s">
        <v>130</v>
      </c>
      <c r="B582" s="2">
        <v>1</v>
      </c>
      <c r="C582" s="39">
        <v>1</v>
      </c>
      <c r="D582" s="39">
        <v>2.1</v>
      </c>
      <c r="E582" s="2">
        <v>3</v>
      </c>
      <c r="F582" s="21">
        <f t="shared" ref="F582:F588" si="13">B582*C582*D582*E582</f>
        <v>6.3000000000000007</v>
      </c>
    </row>
    <row r="583" spans="1:6" x14ac:dyDescent="0.25">
      <c r="A583" s="2" t="s">
        <v>129</v>
      </c>
      <c r="B583" s="2">
        <v>1</v>
      </c>
      <c r="C583" s="39">
        <v>1</v>
      </c>
      <c r="D583" s="39">
        <v>2.1</v>
      </c>
      <c r="E583" s="2">
        <v>3</v>
      </c>
      <c r="F583" s="21">
        <f t="shared" si="13"/>
        <v>6.3000000000000007</v>
      </c>
    </row>
    <row r="584" spans="1:6" x14ac:dyDescent="0.25">
      <c r="A584" s="2" t="s">
        <v>234</v>
      </c>
      <c r="B584" s="2">
        <v>1</v>
      </c>
      <c r="C584" s="39">
        <v>0.6</v>
      </c>
      <c r="D584" s="39">
        <v>2.1</v>
      </c>
      <c r="E584" s="2">
        <v>3</v>
      </c>
      <c r="F584" s="21">
        <f t="shared" si="13"/>
        <v>3.7800000000000002</v>
      </c>
    </row>
    <row r="585" spans="1:6" x14ac:dyDescent="0.25">
      <c r="A585" s="2" t="s">
        <v>109</v>
      </c>
      <c r="B585" s="2">
        <v>2</v>
      </c>
      <c r="C585" s="39">
        <v>0.8</v>
      </c>
      <c r="D585" s="39">
        <v>2.1</v>
      </c>
      <c r="E585" s="2">
        <v>3</v>
      </c>
      <c r="F585" s="21">
        <f t="shared" si="13"/>
        <v>10.080000000000002</v>
      </c>
    </row>
    <row r="586" spans="1:6" x14ac:dyDescent="0.25">
      <c r="A586" s="2" t="s">
        <v>157</v>
      </c>
      <c r="B586" s="2">
        <v>1</v>
      </c>
      <c r="C586" s="39">
        <v>1</v>
      </c>
      <c r="D586" s="39">
        <v>2.1</v>
      </c>
      <c r="E586" s="2">
        <v>3</v>
      </c>
      <c r="F586" s="21">
        <f t="shared" si="13"/>
        <v>6.3000000000000007</v>
      </c>
    </row>
    <row r="587" spans="1:6" x14ac:dyDescent="0.25">
      <c r="A587" s="2" t="s">
        <v>114</v>
      </c>
      <c r="B587" s="2">
        <v>1</v>
      </c>
      <c r="C587" s="39">
        <v>1</v>
      </c>
      <c r="D587" s="39">
        <v>2.1</v>
      </c>
      <c r="E587" s="2">
        <v>3</v>
      </c>
      <c r="F587" s="21">
        <f t="shared" si="13"/>
        <v>6.3000000000000007</v>
      </c>
    </row>
    <row r="588" spans="1:6" x14ac:dyDescent="0.25">
      <c r="A588" s="2" t="s">
        <v>79</v>
      </c>
      <c r="B588" s="2">
        <v>1</v>
      </c>
      <c r="C588" s="39">
        <v>0.8</v>
      </c>
      <c r="D588" s="39">
        <v>2.1</v>
      </c>
      <c r="E588" s="2">
        <v>3</v>
      </c>
      <c r="F588" s="21">
        <f t="shared" si="13"/>
        <v>5.0400000000000009</v>
      </c>
    </row>
    <row r="589" spans="1:6" x14ac:dyDescent="0.25">
      <c r="A589" s="244" t="s">
        <v>70</v>
      </c>
      <c r="B589" s="244"/>
      <c r="C589" s="244"/>
      <c r="D589" s="244"/>
      <c r="E589" s="244"/>
      <c r="F589" s="20">
        <f>SUM(F582:F588)</f>
        <v>44.1</v>
      </c>
    </row>
    <row r="590" spans="1:6" x14ac:dyDescent="0.25">
      <c r="A590" s="27"/>
      <c r="B590" s="28"/>
      <c r="C590" s="28"/>
      <c r="D590" s="28"/>
      <c r="E590" s="28"/>
      <c r="F590" s="29"/>
    </row>
    <row r="591" spans="1:6" x14ac:dyDescent="0.25">
      <c r="A591" s="244" t="s">
        <v>236</v>
      </c>
      <c r="B591" s="244"/>
      <c r="C591" s="244"/>
      <c r="D591" s="244"/>
      <c r="E591" s="244"/>
      <c r="F591" s="244"/>
    </row>
    <row r="592" spans="1:6" x14ac:dyDescent="0.25">
      <c r="A592" s="2" t="s">
        <v>2</v>
      </c>
      <c r="B592" s="2" t="s">
        <v>3</v>
      </c>
      <c r="C592" s="2" t="s">
        <v>4</v>
      </c>
      <c r="D592" s="2" t="s">
        <v>5</v>
      </c>
      <c r="E592" s="2" t="s">
        <v>233</v>
      </c>
      <c r="F592" s="2" t="s">
        <v>7</v>
      </c>
    </row>
    <row r="593" spans="1:6" x14ac:dyDescent="0.25">
      <c r="A593" s="54" t="s">
        <v>237</v>
      </c>
      <c r="B593" s="54">
        <v>3</v>
      </c>
      <c r="C593" s="54">
        <v>3.16</v>
      </c>
      <c r="D593" s="55">
        <v>2.1</v>
      </c>
      <c r="E593" s="54">
        <v>2</v>
      </c>
      <c r="F593" s="56">
        <f t="shared" ref="F593:F599" si="14">B593*C593*D593*E593</f>
        <v>39.816000000000003</v>
      </c>
    </row>
    <row r="594" spans="1:6" x14ac:dyDescent="0.25">
      <c r="A594" s="54" t="s">
        <v>237</v>
      </c>
      <c r="B594" s="54">
        <v>4</v>
      </c>
      <c r="C594" s="54">
        <v>3.15</v>
      </c>
      <c r="D594" s="55">
        <v>2.1</v>
      </c>
      <c r="E594" s="54">
        <v>2</v>
      </c>
      <c r="F594" s="56">
        <f t="shared" si="14"/>
        <v>52.92</v>
      </c>
    </row>
    <row r="595" spans="1:6" x14ac:dyDescent="0.25">
      <c r="A595" s="54" t="s">
        <v>237</v>
      </c>
      <c r="B595" s="54">
        <v>2</v>
      </c>
      <c r="C595" s="55">
        <v>3.9</v>
      </c>
      <c r="D595" s="55">
        <v>2.1</v>
      </c>
      <c r="E595" s="54">
        <v>2</v>
      </c>
      <c r="F595" s="56">
        <f t="shared" si="14"/>
        <v>32.76</v>
      </c>
    </row>
    <row r="596" spans="1:6" x14ac:dyDescent="0.25">
      <c r="A596" s="2" t="s">
        <v>238</v>
      </c>
      <c r="B596" s="2">
        <v>1</v>
      </c>
      <c r="C596" s="39">
        <v>43.8</v>
      </c>
      <c r="D596" s="39">
        <v>0.9</v>
      </c>
      <c r="E596" s="2">
        <v>2</v>
      </c>
      <c r="F596" s="21">
        <f t="shared" si="14"/>
        <v>78.84</v>
      </c>
    </row>
    <row r="597" spans="1:6" x14ac:dyDescent="0.25">
      <c r="A597" s="2" t="s">
        <v>239</v>
      </c>
      <c r="B597" s="2">
        <v>1</v>
      </c>
      <c r="C597" s="39">
        <v>61.5</v>
      </c>
      <c r="D597" s="39">
        <v>0.2</v>
      </c>
      <c r="E597" s="2">
        <v>2</v>
      </c>
      <c r="F597" s="21">
        <f t="shared" si="14"/>
        <v>24.6</v>
      </c>
    </row>
    <row r="598" spans="1:6" x14ac:dyDescent="0.25">
      <c r="A598" s="2" t="s">
        <v>239</v>
      </c>
      <c r="B598" s="2">
        <v>3</v>
      </c>
      <c r="C598" s="39">
        <v>61.5</v>
      </c>
      <c r="D598" s="39">
        <v>0.15</v>
      </c>
      <c r="E598" s="2">
        <v>2</v>
      </c>
      <c r="F598" s="21">
        <f t="shared" si="14"/>
        <v>55.35</v>
      </c>
    </row>
    <row r="599" spans="1:6" x14ac:dyDescent="0.25">
      <c r="A599" s="2" t="s">
        <v>240</v>
      </c>
      <c r="B599" s="2">
        <v>23</v>
      </c>
      <c r="C599" s="39">
        <v>0.9</v>
      </c>
      <c r="D599" s="39">
        <v>0.15</v>
      </c>
      <c r="E599" s="2">
        <v>2</v>
      </c>
      <c r="F599" s="21">
        <f t="shared" si="14"/>
        <v>6.21</v>
      </c>
    </row>
    <row r="600" spans="1:6" x14ac:dyDescent="0.25">
      <c r="A600" s="244" t="s">
        <v>70</v>
      </c>
      <c r="B600" s="244"/>
      <c r="C600" s="244"/>
      <c r="D600" s="244"/>
      <c r="E600" s="244"/>
      <c r="F600" s="20">
        <f>SUM(F593:F599)</f>
        <v>290.49599999999998</v>
      </c>
    </row>
    <row r="601" spans="1:6" x14ac:dyDescent="0.25">
      <c r="A601" s="27"/>
      <c r="B601" s="28"/>
      <c r="C601" s="28"/>
      <c r="D601" s="28"/>
      <c r="E601" s="28"/>
      <c r="F601" s="29"/>
    </row>
    <row r="602" spans="1:6" x14ac:dyDescent="0.25">
      <c r="A602" s="244" t="s">
        <v>241</v>
      </c>
      <c r="B602" s="244"/>
      <c r="C602" s="244"/>
      <c r="D602" s="244"/>
      <c r="E602" s="244"/>
      <c r="F602" s="244"/>
    </row>
    <row r="603" spans="1:6" x14ac:dyDescent="0.25">
      <c r="A603" s="2" t="s">
        <v>2</v>
      </c>
      <c r="B603" s="2" t="s">
        <v>3</v>
      </c>
      <c r="C603" s="2" t="s">
        <v>4</v>
      </c>
      <c r="D603" s="2" t="s">
        <v>6</v>
      </c>
      <c r="E603" s="2" t="s">
        <v>233</v>
      </c>
      <c r="F603" s="2" t="s">
        <v>7</v>
      </c>
    </row>
    <row r="604" spans="1:6" x14ac:dyDescent="0.25">
      <c r="A604" s="2" t="s">
        <v>242</v>
      </c>
      <c r="B604" s="2">
        <v>1</v>
      </c>
      <c r="C604" s="39">
        <v>0.7</v>
      </c>
      <c r="D604" s="39">
        <v>2.1</v>
      </c>
      <c r="E604" s="2">
        <v>3</v>
      </c>
      <c r="F604" s="21">
        <f>B604*C604*D604*E604</f>
        <v>4.41</v>
      </c>
    </row>
    <row r="605" spans="1:6" x14ac:dyDescent="0.25">
      <c r="A605" s="2"/>
      <c r="B605" s="2"/>
      <c r="C605" s="2"/>
      <c r="D605" s="39"/>
      <c r="E605" s="2"/>
      <c r="F605" s="21">
        <f>B605*C605*D605*E605</f>
        <v>0</v>
      </c>
    </row>
    <row r="606" spans="1:6" x14ac:dyDescent="0.25">
      <c r="A606" s="2"/>
      <c r="B606" s="2"/>
      <c r="C606" s="2"/>
      <c r="D606" s="39"/>
      <c r="E606" s="2"/>
      <c r="F606" s="21">
        <f>B606*C606*D606*E606</f>
        <v>0</v>
      </c>
    </row>
    <row r="607" spans="1:6" x14ac:dyDescent="0.25">
      <c r="A607" s="244" t="s">
        <v>70</v>
      </c>
      <c r="B607" s="244"/>
      <c r="C607" s="244"/>
      <c r="D607" s="244"/>
      <c r="E607" s="244"/>
      <c r="F607" s="20">
        <f>SUM(F604:F606)</f>
        <v>4.41</v>
      </c>
    </row>
    <row r="608" spans="1:6" x14ac:dyDescent="0.25">
      <c r="A608" s="27"/>
      <c r="B608" s="28"/>
      <c r="C608" s="28"/>
      <c r="D608" s="28"/>
      <c r="E608" s="28"/>
      <c r="F608" s="29"/>
    </row>
    <row r="609" spans="1:6" x14ac:dyDescent="0.25">
      <c r="A609" s="244" t="s">
        <v>243</v>
      </c>
      <c r="B609" s="244"/>
      <c r="C609" s="244"/>
      <c r="D609" s="244"/>
      <c r="E609" s="244"/>
      <c r="F609" s="244"/>
    </row>
    <row r="610" spans="1:6" x14ac:dyDescent="0.25">
      <c r="A610" s="2" t="s">
        <v>2</v>
      </c>
      <c r="B610" s="2" t="s">
        <v>3</v>
      </c>
      <c r="C610" s="2" t="s">
        <v>244</v>
      </c>
      <c r="D610" s="2"/>
      <c r="E610" s="2"/>
      <c r="F610" s="2" t="s">
        <v>7</v>
      </c>
    </row>
    <row r="611" spans="1:6" x14ac:dyDescent="0.25">
      <c r="A611" s="2" t="s">
        <v>245</v>
      </c>
      <c r="B611" s="2">
        <v>3</v>
      </c>
      <c r="C611" s="2">
        <v>15</v>
      </c>
      <c r="D611" s="39"/>
      <c r="E611" s="2"/>
      <c r="F611" s="21">
        <f>B611*C611</f>
        <v>45</v>
      </c>
    </row>
    <row r="612" spans="1:6" x14ac:dyDescent="0.25">
      <c r="A612" s="2"/>
      <c r="B612" s="2"/>
      <c r="C612" s="2"/>
      <c r="D612" s="39"/>
      <c r="E612" s="2"/>
      <c r="F612" s="21">
        <f>B612*C612*D612*E612</f>
        <v>0</v>
      </c>
    </row>
    <row r="613" spans="1:6" x14ac:dyDescent="0.25">
      <c r="A613" s="2"/>
      <c r="B613" s="2"/>
      <c r="C613" s="2"/>
      <c r="D613" s="39"/>
      <c r="E613" s="2"/>
      <c r="F613" s="21">
        <f>B613*C613*D613*E613</f>
        <v>0</v>
      </c>
    </row>
    <row r="614" spans="1:6" x14ac:dyDescent="0.25">
      <c r="A614" s="244" t="s">
        <v>246</v>
      </c>
      <c r="B614" s="244"/>
      <c r="C614" s="244"/>
      <c r="D614" s="244"/>
      <c r="E614" s="244"/>
      <c r="F614" s="20">
        <f>SUM(F611:F613)</f>
        <v>45</v>
      </c>
    </row>
    <row r="615" spans="1:6" x14ac:dyDescent="0.25">
      <c r="A615" s="27"/>
      <c r="B615" s="28"/>
      <c r="C615" s="28"/>
      <c r="D615" s="28"/>
      <c r="E615" s="28"/>
      <c r="F615" s="29"/>
    </row>
    <row r="616" spans="1:6" x14ac:dyDescent="0.25">
      <c r="A616" s="244" t="s">
        <v>247</v>
      </c>
      <c r="B616" s="244"/>
      <c r="C616" s="244"/>
      <c r="D616" s="244"/>
      <c r="E616" s="244"/>
      <c r="F616" s="244"/>
    </row>
    <row r="617" spans="1:6" x14ac:dyDescent="0.25">
      <c r="A617" s="2" t="s">
        <v>2</v>
      </c>
      <c r="B617" s="245" t="s">
        <v>21</v>
      </c>
      <c r="C617" s="245"/>
      <c r="D617" s="245"/>
      <c r="E617" s="245"/>
      <c r="F617" s="2" t="s">
        <v>7</v>
      </c>
    </row>
    <row r="618" spans="1:6" ht="24.75" customHeight="1" x14ac:dyDescent="0.25">
      <c r="A618" s="25" t="s">
        <v>8</v>
      </c>
      <c r="B618" s="246" t="s">
        <v>248</v>
      </c>
      <c r="C618" s="246"/>
      <c r="D618" s="246"/>
      <c r="E618" s="246"/>
      <c r="F618" s="21">
        <v>1</v>
      </c>
    </row>
    <row r="619" spans="1:6" x14ac:dyDescent="0.25">
      <c r="A619" s="2"/>
      <c r="B619" s="245"/>
      <c r="C619" s="245"/>
      <c r="D619" s="245"/>
      <c r="E619" s="245"/>
      <c r="F619" s="21">
        <f>B619*C619*D619*E619</f>
        <v>0</v>
      </c>
    </row>
    <row r="620" spans="1:6" x14ac:dyDescent="0.25">
      <c r="A620" s="2"/>
      <c r="B620" s="245"/>
      <c r="C620" s="245"/>
      <c r="D620" s="245"/>
      <c r="E620" s="245"/>
      <c r="F620" s="21">
        <f>B620*C620*D620*E620</f>
        <v>0</v>
      </c>
    </row>
    <row r="621" spans="1:6" x14ac:dyDescent="0.25">
      <c r="A621" s="244" t="s">
        <v>246</v>
      </c>
      <c r="B621" s="244"/>
      <c r="C621" s="244"/>
      <c r="D621" s="244"/>
      <c r="E621" s="244"/>
      <c r="F621" s="20">
        <f>SUM(F618:F620)</f>
        <v>1</v>
      </c>
    </row>
    <row r="622" spans="1:6" x14ac:dyDescent="0.25">
      <c r="A622" s="247"/>
      <c r="B622" s="247"/>
      <c r="C622" s="247"/>
      <c r="D622" s="247"/>
      <c r="E622" s="247"/>
      <c r="F622" s="247"/>
    </row>
    <row r="623" spans="1:6" x14ac:dyDescent="0.25">
      <c r="A623" s="244" t="s">
        <v>249</v>
      </c>
      <c r="B623" s="244"/>
      <c r="C623" s="244"/>
      <c r="D623" s="244"/>
      <c r="E623" s="244"/>
      <c r="F623" s="244"/>
    </row>
    <row r="624" spans="1:6" x14ac:dyDescent="0.25">
      <c r="A624" s="2" t="s">
        <v>2</v>
      </c>
      <c r="B624" s="2" t="s">
        <v>3</v>
      </c>
      <c r="C624" s="2" t="s">
        <v>4</v>
      </c>
      <c r="D624" s="2" t="s">
        <v>5</v>
      </c>
      <c r="E624" s="2" t="s">
        <v>6</v>
      </c>
      <c r="F624" s="2" t="s">
        <v>7</v>
      </c>
    </row>
    <row r="625" spans="1:8" x14ac:dyDescent="0.25">
      <c r="A625" s="16" t="s">
        <v>54</v>
      </c>
      <c r="B625" s="12">
        <v>1</v>
      </c>
      <c r="C625" s="12">
        <v>5.75</v>
      </c>
      <c r="D625" s="13">
        <v>3.5</v>
      </c>
      <c r="E625" s="13"/>
      <c r="F625" s="13">
        <f>B625*C625*D625</f>
        <v>20.125</v>
      </c>
    </row>
    <row r="626" spans="1:8" x14ac:dyDescent="0.25">
      <c r="A626" s="16" t="s">
        <v>58</v>
      </c>
      <c r="B626" s="12">
        <v>4</v>
      </c>
      <c r="C626" s="12">
        <f>5.75+0.15+0.15</f>
        <v>6.0500000000000007</v>
      </c>
      <c r="D626" s="13">
        <v>3.5</v>
      </c>
      <c r="E626" s="13"/>
      <c r="F626" s="13">
        <f>B626*C626*D626</f>
        <v>84.700000000000017</v>
      </c>
    </row>
    <row r="627" spans="1:8" x14ac:dyDescent="0.25">
      <c r="A627" s="16" t="s">
        <v>58</v>
      </c>
      <c r="B627" s="12">
        <v>1</v>
      </c>
      <c r="C627" s="13">
        <v>30.5</v>
      </c>
      <c r="D627" s="13">
        <v>5.55</v>
      </c>
      <c r="E627" s="13"/>
      <c r="F627" s="13">
        <f>B627*C627*D627</f>
        <v>169.27500000000001</v>
      </c>
    </row>
    <row r="628" spans="1:8" x14ac:dyDescent="0.25">
      <c r="A628" s="16" t="s">
        <v>59</v>
      </c>
      <c r="B628" s="12">
        <v>1</v>
      </c>
      <c r="C628" s="18"/>
      <c r="D628" s="18"/>
      <c r="E628" s="18"/>
      <c r="F628" s="18">
        <v>238</v>
      </c>
      <c r="H628" s="57"/>
    </row>
    <row r="629" spans="1:8" x14ac:dyDescent="0.25">
      <c r="A629" s="16"/>
      <c r="B629" s="12"/>
      <c r="C629" s="12"/>
      <c r="D629" s="12"/>
      <c r="E629" s="12"/>
      <c r="F629" s="13"/>
    </row>
    <row r="630" spans="1:8" x14ac:dyDescent="0.25">
      <c r="A630" s="244" t="s">
        <v>50</v>
      </c>
      <c r="B630" s="244"/>
      <c r="C630" s="244"/>
      <c r="D630" s="244"/>
      <c r="E630" s="244"/>
      <c r="F630" s="20">
        <f>SUM(F625:F629)</f>
        <v>512.1</v>
      </c>
      <c r="H630" s="57"/>
    </row>
    <row r="631" spans="1:8" x14ac:dyDescent="0.25">
      <c r="A631" s="27"/>
      <c r="B631" s="28"/>
      <c r="C631" s="28"/>
      <c r="D631" s="28"/>
      <c r="E631" s="28"/>
      <c r="F631" s="29"/>
    </row>
    <row r="632" spans="1:8" x14ac:dyDescent="0.25">
      <c r="A632" s="244" t="s">
        <v>250</v>
      </c>
      <c r="B632" s="244"/>
      <c r="C632" s="244"/>
      <c r="D632" s="244"/>
      <c r="E632" s="244"/>
      <c r="F632" s="244"/>
    </row>
    <row r="633" spans="1:8" x14ac:dyDescent="0.25">
      <c r="A633" s="2" t="s">
        <v>2</v>
      </c>
      <c r="B633" s="245" t="s">
        <v>21</v>
      </c>
      <c r="C633" s="245"/>
      <c r="D633" s="245"/>
      <c r="E633" s="245"/>
      <c r="F633" s="2" t="s">
        <v>7</v>
      </c>
    </row>
    <row r="634" spans="1:8" ht="15" customHeight="1" x14ac:dyDescent="0.25">
      <c r="A634" s="25" t="s">
        <v>8</v>
      </c>
      <c r="B634" s="246" t="s">
        <v>251</v>
      </c>
      <c r="C634" s="246"/>
      <c r="D634" s="246"/>
      <c r="E634" s="246"/>
      <c r="F634" s="21">
        <v>1</v>
      </c>
    </row>
    <row r="635" spans="1:8" ht="15" customHeight="1" x14ac:dyDescent="0.25">
      <c r="A635" s="25" t="s">
        <v>8</v>
      </c>
      <c r="B635" s="246" t="s">
        <v>252</v>
      </c>
      <c r="C635" s="246"/>
      <c r="D635" s="246"/>
      <c r="E635" s="246"/>
      <c r="F635" s="21">
        <v>1</v>
      </c>
    </row>
    <row r="636" spans="1:8" ht="15" customHeight="1" x14ac:dyDescent="0.25">
      <c r="A636" s="25" t="s">
        <v>8</v>
      </c>
      <c r="B636" s="246" t="s">
        <v>253</v>
      </c>
      <c r="C636" s="246"/>
      <c r="D636" s="246"/>
      <c r="E636" s="246"/>
      <c r="F636" s="21">
        <v>1</v>
      </c>
    </row>
    <row r="637" spans="1:8" ht="15" customHeight="1" x14ac:dyDescent="0.25">
      <c r="A637" s="25" t="s">
        <v>8</v>
      </c>
      <c r="B637" s="246" t="s">
        <v>254</v>
      </c>
      <c r="C637" s="246"/>
      <c r="D637" s="246"/>
      <c r="E637" s="246"/>
      <c r="F637" s="21">
        <v>1</v>
      </c>
    </row>
    <row r="638" spans="1:8" x14ac:dyDescent="0.25">
      <c r="A638" s="244" t="s">
        <v>246</v>
      </c>
      <c r="B638" s="244"/>
      <c r="C638" s="244"/>
      <c r="D638" s="244"/>
      <c r="E638" s="244"/>
      <c r="F638" s="20">
        <f>SUM(F634:F637)</f>
        <v>4</v>
      </c>
    </row>
    <row r="639" spans="1:8" x14ac:dyDescent="0.25">
      <c r="A639" s="27"/>
      <c r="B639" s="28"/>
      <c r="C639" s="28"/>
      <c r="D639" s="28"/>
      <c r="E639" s="28"/>
      <c r="F639" s="29"/>
    </row>
    <row r="640" spans="1:8" x14ac:dyDescent="0.25">
      <c r="A640" s="244" t="s">
        <v>255</v>
      </c>
      <c r="B640" s="244"/>
      <c r="C640" s="244"/>
      <c r="D640" s="244"/>
      <c r="E640" s="244"/>
      <c r="F640" s="244"/>
    </row>
    <row r="641" spans="1:6" x14ac:dyDescent="0.25">
      <c r="A641" s="2" t="s">
        <v>2</v>
      </c>
      <c r="B641" s="245" t="s">
        <v>21</v>
      </c>
      <c r="C641" s="245"/>
      <c r="D641" s="245"/>
      <c r="E641" s="245"/>
      <c r="F641" s="2" t="s">
        <v>7</v>
      </c>
    </row>
    <row r="642" spans="1:6" ht="15" customHeight="1" x14ac:dyDescent="0.25">
      <c r="A642" s="25" t="s">
        <v>8</v>
      </c>
      <c r="B642" s="246" t="s">
        <v>253</v>
      </c>
      <c r="C642" s="246"/>
      <c r="D642" s="246"/>
      <c r="E642" s="246"/>
      <c r="F642" s="21">
        <v>1</v>
      </c>
    </row>
    <row r="643" spans="1:6" ht="15" customHeight="1" x14ac:dyDescent="0.25">
      <c r="A643" s="25" t="s">
        <v>8</v>
      </c>
      <c r="B643" s="246" t="s">
        <v>254</v>
      </c>
      <c r="C643" s="246"/>
      <c r="D643" s="246"/>
      <c r="E643" s="246"/>
      <c r="F643" s="21">
        <v>1</v>
      </c>
    </row>
    <row r="644" spans="1:6" x14ac:dyDescent="0.25">
      <c r="A644" s="2"/>
      <c r="B644" s="245"/>
      <c r="C644" s="245"/>
      <c r="D644" s="245"/>
      <c r="E644" s="245"/>
      <c r="F644" s="21">
        <f>B644*C644*D644*E644</f>
        <v>0</v>
      </c>
    </row>
    <row r="645" spans="1:6" x14ac:dyDescent="0.25">
      <c r="A645" s="244" t="s">
        <v>246</v>
      </c>
      <c r="B645" s="244"/>
      <c r="C645" s="244"/>
      <c r="D645" s="244"/>
      <c r="E645" s="244"/>
      <c r="F645" s="20">
        <f>SUM(F642:F644)</f>
        <v>2</v>
      </c>
    </row>
    <row r="646" spans="1:6" x14ac:dyDescent="0.25">
      <c r="A646" s="27"/>
      <c r="B646" s="28"/>
      <c r="C646" s="28"/>
      <c r="D646" s="28"/>
      <c r="E646" s="28"/>
      <c r="F646" s="29"/>
    </row>
    <row r="647" spans="1:6" x14ac:dyDescent="0.25">
      <c r="A647" s="244" t="s">
        <v>256</v>
      </c>
      <c r="B647" s="244"/>
      <c r="C647" s="244"/>
      <c r="D647" s="244"/>
      <c r="E647" s="244"/>
      <c r="F647" s="244"/>
    </row>
    <row r="648" spans="1:6" x14ac:dyDescent="0.25">
      <c r="A648" s="2" t="s">
        <v>2</v>
      </c>
      <c r="B648" s="245" t="s">
        <v>21</v>
      </c>
      <c r="C648" s="245"/>
      <c r="D648" s="245"/>
      <c r="E648" s="245"/>
      <c r="F648" s="2" t="s">
        <v>7</v>
      </c>
    </row>
    <row r="649" spans="1:6" ht="15" customHeight="1" x14ac:dyDescent="0.25">
      <c r="A649" s="25" t="s">
        <v>8</v>
      </c>
      <c r="B649" s="246" t="s">
        <v>257</v>
      </c>
      <c r="C649" s="246"/>
      <c r="D649" s="246"/>
      <c r="E649" s="246"/>
      <c r="F649" s="21">
        <v>1</v>
      </c>
    </row>
    <row r="650" spans="1:6" ht="15" customHeight="1" x14ac:dyDescent="0.25">
      <c r="A650" s="25"/>
      <c r="B650" s="246"/>
      <c r="C650" s="246"/>
      <c r="D650" s="246"/>
      <c r="E650" s="246"/>
      <c r="F650" s="21"/>
    </row>
    <row r="651" spans="1:6" x14ac:dyDescent="0.25">
      <c r="A651" s="244" t="s">
        <v>246</v>
      </c>
      <c r="B651" s="244"/>
      <c r="C651" s="244"/>
      <c r="D651" s="244"/>
      <c r="E651" s="244"/>
      <c r="F651" s="20">
        <f>SUM(F649:F650)</f>
        <v>1</v>
      </c>
    </row>
    <row r="652" spans="1:6" x14ac:dyDescent="0.25">
      <c r="A652" s="27"/>
      <c r="B652" s="28"/>
      <c r="C652" s="28"/>
      <c r="D652" s="28"/>
      <c r="E652" s="28"/>
      <c r="F652" s="29"/>
    </row>
    <row r="653" spans="1:6" x14ac:dyDescent="0.25">
      <c r="A653" s="244" t="s">
        <v>258</v>
      </c>
      <c r="B653" s="244"/>
      <c r="C653" s="244"/>
      <c r="D653" s="244"/>
      <c r="E653" s="244"/>
      <c r="F653" s="244"/>
    </row>
    <row r="654" spans="1:6" x14ac:dyDescent="0.25">
      <c r="A654" s="2" t="s">
        <v>2</v>
      </c>
      <c r="B654" s="245" t="s">
        <v>21</v>
      </c>
      <c r="C654" s="245"/>
      <c r="D654" s="245"/>
      <c r="E654" s="245"/>
      <c r="F654" s="2" t="s">
        <v>7</v>
      </c>
    </row>
    <row r="655" spans="1:6" ht="15" customHeight="1" x14ac:dyDescent="0.25">
      <c r="A655" s="25" t="s">
        <v>8</v>
      </c>
      <c r="B655" s="246" t="s">
        <v>259</v>
      </c>
      <c r="C655" s="246"/>
      <c r="D655" s="246"/>
      <c r="E655" s="246"/>
      <c r="F655" s="21">
        <v>19</v>
      </c>
    </row>
    <row r="656" spans="1:6" ht="15" customHeight="1" x14ac:dyDescent="0.25">
      <c r="A656" s="25"/>
      <c r="B656" s="246"/>
      <c r="C656" s="246"/>
      <c r="D656" s="246"/>
      <c r="E656" s="246"/>
      <c r="F656" s="21"/>
    </row>
    <row r="657" spans="1:6" x14ac:dyDescent="0.25">
      <c r="A657" s="244" t="s">
        <v>246</v>
      </c>
      <c r="B657" s="244"/>
      <c r="C657" s="244"/>
      <c r="D657" s="244"/>
      <c r="E657" s="244"/>
      <c r="F657" s="20">
        <f>SUM(F655:F656)</f>
        <v>19</v>
      </c>
    </row>
    <row r="658" spans="1:6" x14ac:dyDescent="0.25">
      <c r="A658" s="27"/>
      <c r="B658" s="28"/>
      <c r="C658" s="28"/>
      <c r="D658" s="28"/>
      <c r="E658" s="28"/>
      <c r="F658" s="29"/>
    </row>
    <row r="659" spans="1:6" x14ac:dyDescent="0.25">
      <c r="A659" s="244" t="s">
        <v>260</v>
      </c>
      <c r="B659" s="244"/>
      <c r="C659" s="244"/>
      <c r="D659" s="244"/>
      <c r="E659" s="244"/>
      <c r="F659" s="244"/>
    </row>
    <row r="660" spans="1:6" x14ac:dyDescent="0.25">
      <c r="A660" s="2" t="s">
        <v>2</v>
      </c>
      <c r="B660" s="245" t="s">
        <v>21</v>
      </c>
      <c r="C660" s="245"/>
      <c r="D660" s="245"/>
      <c r="E660" s="245"/>
      <c r="F660" s="2" t="s">
        <v>7</v>
      </c>
    </row>
    <row r="661" spans="1:6" ht="15" customHeight="1" x14ac:dyDescent="0.25">
      <c r="A661" s="25" t="s">
        <v>8</v>
      </c>
      <c r="B661" s="246" t="s">
        <v>261</v>
      </c>
      <c r="C661" s="246"/>
      <c r="D661" s="246"/>
      <c r="E661" s="246"/>
      <c r="F661" s="21">
        <v>1</v>
      </c>
    </row>
    <row r="662" spans="1:6" ht="15" customHeight="1" x14ac:dyDescent="0.25">
      <c r="A662" s="25"/>
      <c r="B662" s="246"/>
      <c r="C662" s="246"/>
      <c r="D662" s="246"/>
      <c r="E662" s="246"/>
      <c r="F662" s="21"/>
    </row>
    <row r="663" spans="1:6" x14ac:dyDescent="0.25">
      <c r="A663" s="244" t="s">
        <v>246</v>
      </c>
      <c r="B663" s="244"/>
      <c r="C663" s="244"/>
      <c r="D663" s="244"/>
      <c r="E663" s="244"/>
      <c r="F663" s="20">
        <f>SUM(F661:F662)</f>
        <v>1</v>
      </c>
    </row>
  </sheetData>
  <mergeCells count="244">
    <mergeCell ref="A1:F1"/>
    <mergeCell ref="A2:F2"/>
    <mergeCell ref="A3:F3"/>
    <mergeCell ref="A7:E7"/>
    <mergeCell ref="A9:F9"/>
    <mergeCell ref="A13:E13"/>
    <mergeCell ref="A15:F15"/>
    <mergeCell ref="A19:E19"/>
    <mergeCell ref="A21:F21"/>
    <mergeCell ref="A25:E25"/>
    <mergeCell ref="A27:F27"/>
    <mergeCell ref="B28:E28"/>
    <mergeCell ref="B29:E29"/>
    <mergeCell ref="B30:E30"/>
    <mergeCell ref="A31:E31"/>
    <mergeCell ref="A33:F33"/>
    <mergeCell ref="A37:E37"/>
    <mergeCell ref="A39:F39"/>
    <mergeCell ref="A43:E43"/>
    <mergeCell ref="A45:F45"/>
    <mergeCell ref="A49:E49"/>
    <mergeCell ref="A51:F51"/>
    <mergeCell ref="A55:E55"/>
    <mergeCell ref="A57:F57"/>
    <mergeCell ref="A61:E61"/>
    <mergeCell ref="A63:F63"/>
    <mergeCell ref="A69:E69"/>
    <mergeCell ref="A71:F71"/>
    <mergeCell ref="A75:E75"/>
    <mergeCell ref="A77:F77"/>
    <mergeCell ref="A89:E89"/>
    <mergeCell ref="A91:F91"/>
    <mergeCell ref="A100:E100"/>
    <mergeCell ref="A101:F101"/>
    <mergeCell ref="A102:F102"/>
    <mergeCell ref="A111:E111"/>
    <mergeCell ref="A113:F113"/>
    <mergeCell ref="A123:E123"/>
    <mergeCell ref="A125:F125"/>
    <mergeCell ref="B126:E126"/>
    <mergeCell ref="B127:E127"/>
    <mergeCell ref="B128:E128"/>
    <mergeCell ref="B129:E129"/>
    <mergeCell ref="B130:E130"/>
    <mergeCell ref="A131:E131"/>
    <mergeCell ref="A133:F133"/>
    <mergeCell ref="B134:E134"/>
    <mergeCell ref="B135:E135"/>
    <mergeCell ref="B136:E136"/>
    <mergeCell ref="B137:E137"/>
    <mergeCell ref="B138:E138"/>
    <mergeCell ref="A139:E139"/>
    <mergeCell ref="A141:F141"/>
    <mergeCell ref="A151:E151"/>
    <mergeCell ref="A153:F153"/>
    <mergeCell ref="A162:E162"/>
    <mergeCell ref="A164:F164"/>
    <mergeCell ref="B165:E165"/>
    <mergeCell ref="B166:E166"/>
    <mergeCell ref="B167:E167"/>
    <mergeCell ref="B168:E168"/>
    <mergeCell ref="B169:E169"/>
    <mergeCell ref="A170:E170"/>
    <mergeCell ref="A172:F172"/>
    <mergeCell ref="A177:E177"/>
    <mergeCell ref="A179:F179"/>
    <mergeCell ref="A184:E184"/>
    <mergeCell ref="A186:F186"/>
    <mergeCell ref="A193:E193"/>
    <mergeCell ref="A195:F195"/>
    <mergeCell ref="A200:E200"/>
    <mergeCell ref="A202:F202"/>
    <mergeCell ref="A210:E210"/>
    <mergeCell ref="A211:E211"/>
    <mergeCell ref="A213:F213"/>
    <mergeCell ref="A221:E221"/>
    <mergeCell ref="A223:F223"/>
    <mergeCell ref="A238:E238"/>
    <mergeCell ref="A240:F240"/>
    <mergeCell ref="A251:E251"/>
    <mergeCell ref="A253:F253"/>
    <mergeCell ref="A263:E263"/>
    <mergeCell ref="A265:F265"/>
    <mergeCell ref="A281:E281"/>
    <mergeCell ref="A283:F283"/>
    <mergeCell ref="A298:E298"/>
    <mergeCell ref="A300:F300"/>
    <mergeCell ref="A304:E304"/>
    <mergeCell ref="A306:F306"/>
    <mergeCell ref="A315:E315"/>
    <mergeCell ref="A317:F317"/>
    <mergeCell ref="A328:E328"/>
    <mergeCell ref="A330:F330"/>
    <mergeCell ref="A339:E339"/>
    <mergeCell ref="A340:F340"/>
    <mergeCell ref="A341:F341"/>
    <mergeCell ref="A347:E347"/>
    <mergeCell ref="A348:F348"/>
    <mergeCell ref="A349:F349"/>
    <mergeCell ref="A354:E354"/>
    <mergeCell ref="A356:F356"/>
    <mergeCell ref="A360:E360"/>
    <mergeCell ref="A361:F361"/>
    <mergeCell ref="A362:F362"/>
    <mergeCell ref="A367:E367"/>
    <mergeCell ref="A369:F369"/>
    <mergeCell ref="A380:E380"/>
    <mergeCell ref="A382:F382"/>
    <mergeCell ref="A388:E388"/>
    <mergeCell ref="A390:F390"/>
    <mergeCell ref="B391:E391"/>
    <mergeCell ref="B392:E392"/>
    <mergeCell ref="B393:E393"/>
    <mergeCell ref="B394:E394"/>
    <mergeCell ref="A395:E395"/>
    <mergeCell ref="A397:F397"/>
    <mergeCell ref="B398:E398"/>
    <mergeCell ref="B399:E399"/>
    <mergeCell ref="B400:E400"/>
    <mergeCell ref="A401:E401"/>
    <mergeCell ref="A403:F403"/>
    <mergeCell ref="B404:E404"/>
    <mergeCell ref="B405:E405"/>
    <mergeCell ref="B406:E406"/>
    <mergeCell ref="A407:E407"/>
    <mergeCell ref="A409:F409"/>
    <mergeCell ref="A410:F410"/>
    <mergeCell ref="A415:E415"/>
    <mergeCell ref="A417:F417"/>
    <mergeCell ref="B418:E418"/>
    <mergeCell ref="B419:E419"/>
    <mergeCell ref="B420:E420"/>
    <mergeCell ref="B421:E421"/>
    <mergeCell ref="B422:E422"/>
    <mergeCell ref="B423:E423"/>
    <mergeCell ref="B424:E424"/>
    <mergeCell ref="A425:E425"/>
    <mergeCell ref="A427:F427"/>
    <mergeCell ref="B428:E428"/>
    <mergeCell ref="B429:E429"/>
    <mergeCell ref="B430:E430"/>
    <mergeCell ref="B431:E431"/>
    <mergeCell ref="A432:E432"/>
    <mergeCell ref="A434:F434"/>
    <mergeCell ref="B435:E435"/>
    <mergeCell ref="B436:E436"/>
    <mergeCell ref="B437:E437"/>
    <mergeCell ref="B438:E438"/>
    <mergeCell ref="A439:E439"/>
    <mergeCell ref="A441:F441"/>
    <mergeCell ref="A442:F442"/>
    <mergeCell ref="A447:E447"/>
    <mergeCell ref="A449:F449"/>
    <mergeCell ref="A454:E454"/>
    <mergeCell ref="A456:F456"/>
    <mergeCell ref="A461:E461"/>
    <mergeCell ref="A463:F463"/>
    <mergeCell ref="A468:E468"/>
    <mergeCell ref="A470:F470"/>
    <mergeCell ref="A477:E477"/>
    <mergeCell ref="A479:F479"/>
    <mergeCell ref="C480:E480"/>
    <mergeCell ref="C481:E481"/>
    <mergeCell ref="C482:E482"/>
    <mergeCell ref="C483:E483"/>
    <mergeCell ref="C484:E484"/>
    <mergeCell ref="C485:E485"/>
    <mergeCell ref="A487:F487"/>
    <mergeCell ref="C488:E488"/>
    <mergeCell ref="C489:E489"/>
    <mergeCell ref="C490:E490"/>
    <mergeCell ref="C491:E491"/>
    <mergeCell ref="C492:E492"/>
    <mergeCell ref="C493:E493"/>
    <mergeCell ref="C494:E494"/>
    <mergeCell ref="C495:E495"/>
    <mergeCell ref="C496:E496"/>
    <mergeCell ref="C497:E497"/>
    <mergeCell ref="C498:E498"/>
    <mergeCell ref="C499:E499"/>
    <mergeCell ref="C500:E500"/>
    <mergeCell ref="C501:E501"/>
    <mergeCell ref="C502:E502"/>
    <mergeCell ref="C503:E503"/>
    <mergeCell ref="C504:E504"/>
    <mergeCell ref="A506:F506"/>
    <mergeCell ref="A512:E512"/>
    <mergeCell ref="A514:F514"/>
    <mergeCell ref="A519:E519"/>
    <mergeCell ref="A521:F521"/>
    <mergeCell ref="A526:E526"/>
    <mergeCell ref="A528:F528"/>
    <mergeCell ref="A538:E538"/>
    <mergeCell ref="A540:F540"/>
    <mergeCell ref="A557:E557"/>
    <mergeCell ref="A559:F559"/>
    <mergeCell ref="A567:E567"/>
    <mergeCell ref="A569:F569"/>
    <mergeCell ref="A578:E578"/>
    <mergeCell ref="A580:F580"/>
    <mergeCell ref="A589:E589"/>
    <mergeCell ref="A591:F591"/>
    <mergeCell ref="A600:E600"/>
    <mergeCell ref="A602:F602"/>
    <mergeCell ref="A607:E607"/>
    <mergeCell ref="A609:F609"/>
    <mergeCell ref="A614:E614"/>
    <mergeCell ref="A616:F616"/>
    <mergeCell ref="B617:E617"/>
    <mergeCell ref="B618:E618"/>
    <mergeCell ref="B619:E619"/>
    <mergeCell ref="B620:E620"/>
    <mergeCell ref="A621:E621"/>
    <mergeCell ref="A622:F622"/>
    <mergeCell ref="A623:F623"/>
    <mergeCell ref="A630:E630"/>
    <mergeCell ref="A632:F632"/>
    <mergeCell ref="B633:E633"/>
    <mergeCell ref="B634:E634"/>
    <mergeCell ref="B635:E635"/>
    <mergeCell ref="B636:E636"/>
    <mergeCell ref="B637:E637"/>
    <mergeCell ref="A638:E638"/>
    <mergeCell ref="A640:F640"/>
    <mergeCell ref="B641:E641"/>
    <mergeCell ref="B642:E642"/>
    <mergeCell ref="B643:E643"/>
    <mergeCell ref="B644:E644"/>
    <mergeCell ref="A645:E645"/>
    <mergeCell ref="A647:F647"/>
    <mergeCell ref="B648:E648"/>
    <mergeCell ref="B649:E649"/>
    <mergeCell ref="B650:E650"/>
    <mergeCell ref="A651:E651"/>
    <mergeCell ref="A663:E663"/>
    <mergeCell ref="A653:F653"/>
    <mergeCell ref="B654:E654"/>
    <mergeCell ref="B655:E655"/>
    <mergeCell ref="B656:E656"/>
    <mergeCell ref="A657:E657"/>
    <mergeCell ref="A659:F659"/>
    <mergeCell ref="B660:E660"/>
    <mergeCell ref="B661:E661"/>
    <mergeCell ref="B662:E662"/>
  </mergeCells>
  <pageMargins left="0.51180555555555496" right="0.51180555555555496" top="0.78749999999999998" bottom="0.78749999999999998" header="0.51180555555555496" footer="0.51180555555555496"/>
  <pageSetup paperSize="9" firstPageNumber="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5"/>
  <sheetViews>
    <sheetView tabSelected="1" view="pageBreakPreview" zoomScaleNormal="100" zoomScaleSheetLayoutView="100" zoomScalePageLayoutView="84" workbookViewId="0">
      <selection activeCell="C199" sqref="C199"/>
    </sheetView>
  </sheetViews>
  <sheetFormatPr defaultRowHeight="15" x14ac:dyDescent="0.25"/>
  <cols>
    <col min="1" max="1" width="10.85546875" customWidth="1"/>
    <col min="2" max="2" width="7.42578125" customWidth="1"/>
    <col min="3" max="3" width="26.28515625" customWidth="1"/>
    <col min="4" max="4" width="7.42578125"/>
    <col min="5" max="7" width="9.85546875" customWidth="1"/>
    <col min="8" max="8" width="13" customWidth="1"/>
    <col min="9" max="9" width="8.7109375"/>
    <col min="10" max="11" width="14"/>
    <col min="12" max="244" width="8.7109375"/>
    <col min="245" max="245" width="13.28515625"/>
    <col min="246" max="246" width="8.42578125"/>
    <col min="247" max="247" width="78.7109375"/>
    <col min="248" max="248" width="7.42578125"/>
    <col min="249" max="249" width="8.140625"/>
    <col min="250" max="250" width="8.7109375"/>
    <col min="251" max="251" width="11.7109375"/>
    <col min="252" max="252" width="14.28515625"/>
    <col min="253" max="253" width="15.5703125"/>
    <col min="254" max="254" width="12.5703125"/>
    <col min="255" max="255" width="16.28515625"/>
    <col min="256" max="257" width="13.85546875"/>
  </cols>
  <sheetData>
    <row r="1" spans="1:8" x14ac:dyDescent="0.25">
      <c r="A1" s="58" t="s">
        <v>262</v>
      </c>
      <c r="B1" s="59"/>
      <c r="C1" s="60"/>
      <c r="D1" s="60"/>
      <c r="E1" s="60"/>
      <c r="F1" s="60"/>
      <c r="G1" s="60"/>
      <c r="H1" s="61"/>
    </row>
    <row r="2" spans="1:8" x14ac:dyDescent="0.25">
      <c r="A2" s="62" t="s">
        <v>263</v>
      </c>
      <c r="B2" s="63"/>
      <c r="C2" s="64"/>
      <c r="D2" s="64"/>
      <c r="E2" s="63" t="s">
        <v>264</v>
      </c>
      <c r="F2" s="64"/>
      <c r="G2" s="64"/>
      <c r="H2" s="65"/>
    </row>
    <row r="3" spans="1:8" ht="15.75" customHeight="1" x14ac:dyDescent="0.25">
      <c r="A3" s="256" t="s">
        <v>265</v>
      </c>
      <c r="B3" s="256"/>
      <c r="C3" s="256"/>
      <c r="D3" s="66"/>
      <c r="E3" s="257"/>
      <c r="F3" s="257"/>
      <c r="G3" s="67"/>
      <c r="H3" s="68"/>
    </row>
    <row r="4" spans="1:8" ht="15.75" customHeight="1" x14ac:dyDescent="0.25">
      <c r="A4" s="258" t="s">
        <v>266</v>
      </c>
      <c r="B4" s="258"/>
      <c r="C4" s="258"/>
      <c r="D4" s="64"/>
      <c r="E4" s="63" t="s">
        <v>267</v>
      </c>
      <c r="F4" s="64"/>
      <c r="G4" s="64"/>
      <c r="H4" s="65"/>
    </row>
    <row r="5" spans="1:8" ht="15.75" customHeight="1" x14ac:dyDescent="0.25">
      <c r="A5" s="69"/>
      <c r="B5" s="70"/>
      <c r="C5" s="71" t="s">
        <v>268</v>
      </c>
      <c r="D5" s="70"/>
      <c r="E5" s="72" t="s">
        <v>269</v>
      </c>
      <c r="F5" s="70"/>
      <c r="G5" s="70"/>
      <c r="H5" s="73"/>
    </row>
    <row r="6" spans="1:8" ht="38.25" customHeight="1" x14ac:dyDescent="0.25">
      <c r="A6" s="74" t="s">
        <v>270</v>
      </c>
      <c r="B6" s="74" t="s">
        <v>271</v>
      </c>
      <c r="C6" s="74" t="s">
        <v>272</v>
      </c>
      <c r="D6" s="74" t="s">
        <v>273</v>
      </c>
      <c r="E6" s="74" t="s">
        <v>274</v>
      </c>
      <c r="F6" s="74" t="s">
        <v>275</v>
      </c>
      <c r="G6" s="74" t="s">
        <v>276</v>
      </c>
      <c r="H6" s="75" t="s">
        <v>277</v>
      </c>
    </row>
    <row r="7" spans="1:8" ht="10.5" customHeight="1" x14ac:dyDescent="0.25">
      <c r="A7" s="76"/>
      <c r="B7" s="77"/>
      <c r="C7" s="78"/>
      <c r="D7" s="77"/>
      <c r="E7" s="78"/>
      <c r="F7" s="77"/>
      <c r="G7" s="79">
        <v>1.25</v>
      </c>
      <c r="H7" s="79"/>
    </row>
    <row r="8" spans="1:8" ht="15.75" customHeight="1" x14ac:dyDescent="0.25">
      <c r="A8" s="80"/>
      <c r="B8" s="81" t="s">
        <v>278</v>
      </c>
      <c r="C8" s="82" t="s">
        <v>279</v>
      </c>
      <c r="D8" s="83"/>
      <c r="E8" s="204"/>
      <c r="F8" s="205"/>
      <c r="G8" s="206"/>
      <c r="H8" s="207">
        <f>ROUND(SUM(H9:H32),2)</f>
        <v>8609.16</v>
      </c>
    </row>
    <row r="9" spans="1:8" ht="27" customHeight="1" x14ac:dyDescent="0.25">
      <c r="A9" s="84" t="s">
        <v>280</v>
      </c>
      <c r="B9" s="85" t="s">
        <v>281</v>
      </c>
      <c r="C9" s="86" t="s">
        <v>282</v>
      </c>
      <c r="D9" s="87" t="s">
        <v>283</v>
      </c>
      <c r="E9" s="208">
        <v>3</v>
      </c>
      <c r="F9" s="209">
        <v>179.94</v>
      </c>
      <c r="G9" s="210">
        <f>TRUNC(F9*$G$7,2)</f>
        <v>224.92</v>
      </c>
      <c r="H9" s="210">
        <f>ROUND(SUM(E9*G9),2)</f>
        <v>674.76</v>
      </c>
    </row>
    <row r="10" spans="1:8" x14ac:dyDescent="0.25">
      <c r="A10" s="84"/>
      <c r="B10" s="85"/>
      <c r="C10" s="88"/>
      <c r="D10" s="87"/>
      <c r="E10" s="208"/>
      <c r="F10" s="209"/>
      <c r="G10" s="210"/>
      <c r="H10" s="210"/>
    </row>
    <row r="11" spans="1:8" ht="255" x14ac:dyDescent="0.25">
      <c r="A11" s="84" t="s">
        <v>284</v>
      </c>
      <c r="B11" s="85" t="s">
        <v>285</v>
      </c>
      <c r="C11" s="86" t="s">
        <v>286</v>
      </c>
      <c r="D11" s="87" t="s">
        <v>287</v>
      </c>
      <c r="E11" s="208">
        <f>'Memória sem piso'!F13</f>
        <v>3</v>
      </c>
      <c r="F11" s="209">
        <v>490</v>
      </c>
      <c r="G11" s="210">
        <f>TRUNC(F11*$G$7,2)</f>
        <v>612.5</v>
      </c>
      <c r="H11" s="210">
        <f>ROUND(SUM(E11*G11),2)</f>
        <v>1837.5</v>
      </c>
    </row>
    <row r="12" spans="1:8" x14ac:dyDescent="0.25">
      <c r="A12" s="84"/>
      <c r="B12" s="85"/>
      <c r="C12" s="86"/>
      <c r="D12" s="87"/>
      <c r="E12" s="208"/>
      <c r="F12" s="209"/>
      <c r="G12" s="210"/>
      <c r="H12" s="210"/>
    </row>
    <row r="13" spans="1:8" ht="63.75" x14ac:dyDescent="0.25">
      <c r="A13" s="84" t="s">
        <v>288</v>
      </c>
      <c r="B13" s="85" t="s">
        <v>289</v>
      </c>
      <c r="C13" s="86" t="s">
        <v>290</v>
      </c>
      <c r="D13" s="87" t="s">
        <v>291</v>
      </c>
      <c r="E13" s="208">
        <v>34</v>
      </c>
      <c r="F13" s="209">
        <v>21.03</v>
      </c>
      <c r="G13" s="210">
        <f>TRUNC(F13*$G$7,2)</f>
        <v>26.28</v>
      </c>
      <c r="H13" s="210">
        <f>ROUND(SUM(E13*G13),2)</f>
        <v>893.52</v>
      </c>
    </row>
    <row r="14" spans="1:8" x14ac:dyDescent="0.25">
      <c r="A14" s="89"/>
      <c r="B14" s="85"/>
      <c r="C14" s="86"/>
      <c r="D14" s="87"/>
      <c r="E14" s="208"/>
      <c r="F14" s="209"/>
      <c r="G14" s="210"/>
      <c r="H14" s="210"/>
    </row>
    <row r="15" spans="1:8" ht="38.25" x14ac:dyDescent="0.25">
      <c r="A15" s="89" t="s">
        <v>292</v>
      </c>
      <c r="B15" s="85" t="s">
        <v>293</v>
      </c>
      <c r="C15" s="86" t="s">
        <v>294</v>
      </c>
      <c r="D15" s="87" t="s">
        <v>295</v>
      </c>
      <c r="E15" s="208">
        <f>'Memória sem piso'!F25</f>
        <v>2</v>
      </c>
      <c r="F15" s="209">
        <v>57.13</v>
      </c>
      <c r="G15" s="210">
        <f>TRUNC(F15*$G$7,2)</f>
        <v>71.41</v>
      </c>
      <c r="H15" s="210">
        <f>ROUND(SUM(E15*G15),2)</f>
        <v>142.82</v>
      </c>
    </row>
    <row r="16" spans="1:8" x14ac:dyDescent="0.25">
      <c r="A16" s="89"/>
      <c r="B16" s="85"/>
      <c r="C16" s="86"/>
      <c r="D16" s="87"/>
      <c r="E16" s="208"/>
      <c r="F16" s="209"/>
      <c r="G16" s="210"/>
      <c r="H16" s="210"/>
    </row>
    <row r="17" spans="1:8" ht="114.75" x14ac:dyDescent="0.25">
      <c r="A17" s="89" t="s">
        <v>296</v>
      </c>
      <c r="B17" s="85" t="s">
        <v>297</v>
      </c>
      <c r="C17" s="86" t="s">
        <v>298</v>
      </c>
      <c r="D17" s="87" t="s">
        <v>295</v>
      </c>
      <c r="E17" s="208">
        <f>'Memória sem piso'!F31</f>
        <v>4</v>
      </c>
      <c r="F17" s="209">
        <v>66.34</v>
      </c>
      <c r="G17" s="210">
        <f>TRUNC(F17*$G$7,2)</f>
        <v>82.92</v>
      </c>
      <c r="H17" s="210">
        <f>ROUND(SUM(E17*G17),2)</f>
        <v>331.68</v>
      </c>
    </row>
    <row r="18" spans="1:8" x14ac:dyDescent="0.25">
      <c r="A18" s="89"/>
      <c r="B18" s="85"/>
      <c r="C18" s="86"/>
      <c r="D18" s="87"/>
      <c r="E18" s="208"/>
      <c r="F18" s="209"/>
      <c r="G18" s="210"/>
      <c r="H18" s="210"/>
    </row>
    <row r="19" spans="1:8" ht="229.5" x14ac:dyDescent="0.25">
      <c r="A19" s="89" t="s">
        <v>299</v>
      </c>
      <c r="B19" s="85" t="s">
        <v>300</v>
      </c>
      <c r="C19" s="86" t="s">
        <v>301</v>
      </c>
      <c r="D19" s="87" t="s">
        <v>302</v>
      </c>
      <c r="E19" s="208">
        <f>'Memória sem piso'!F37</f>
        <v>135</v>
      </c>
      <c r="F19" s="209">
        <v>6.06</v>
      </c>
      <c r="G19" s="210">
        <f>TRUNC(F19*$G$7,2)</f>
        <v>7.57</v>
      </c>
      <c r="H19" s="210">
        <f>ROUND(SUM(E19*G19),2)</f>
        <v>1021.95</v>
      </c>
    </row>
    <row r="20" spans="1:8" x14ac:dyDescent="0.25">
      <c r="A20" s="89"/>
      <c r="B20" s="85"/>
      <c r="C20" s="86"/>
      <c r="D20" s="87"/>
      <c r="E20" s="208"/>
      <c r="F20" s="209"/>
      <c r="G20" s="210"/>
      <c r="H20" s="210"/>
    </row>
    <row r="21" spans="1:8" ht="89.25" x14ac:dyDescent="0.25">
      <c r="A21" s="89" t="s">
        <v>303</v>
      </c>
      <c r="B21" s="85" t="s">
        <v>304</v>
      </c>
      <c r="C21" s="86" t="s">
        <v>305</v>
      </c>
      <c r="D21" s="87" t="s">
        <v>306</v>
      </c>
      <c r="E21" s="208">
        <v>1530</v>
      </c>
      <c r="F21" s="209">
        <v>0.11</v>
      </c>
      <c r="G21" s="210">
        <f>TRUNC(F21*$G$7,2)</f>
        <v>0.13</v>
      </c>
      <c r="H21" s="210">
        <f>ROUND(SUM(E21*G21),2)</f>
        <v>198.9</v>
      </c>
    </row>
    <row r="22" spans="1:8" x14ac:dyDescent="0.25">
      <c r="A22" s="90"/>
      <c r="B22" s="85"/>
      <c r="C22" s="86"/>
      <c r="D22" s="87"/>
      <c r="E22" s="208"/>
      <c r="F22" s="209"/>
      <c r="G22" s="210"/>
      <c r="H22" s="210"/>
    </row>
    <row r="23" spans="1:8" ht="38.25" x14ac:dyDescent="0.25">
      <c r="A23" s="89" t="s">
        <v>307</v>
      </c>
      <c r="B23" s="85" t="s">
        <v>308</v>
      </c>
      <c r="C23" s="86" t="s">
        <v>309</v>
      </c>
      <c r="D23" s="87" t="s">
        <v>283</v>
      </c>
      <c r="E23" s="208">
        <f>'Memória sem piso'!F49</f>
        <v>18</v>
      </c>
      <c r="F23" s="209">
        <v>0.46</v>
      </c>
      <c r="G23" s="210">
        <f>TRUNC(F23*$G$7,2)</f>
        <v>0.56999999999999995</v>
      </c>
      <c r="H23" s="210">
        <f>ROUND(SUM(E23*G23),2)</f>
        <v>10.26</v>
      </c>
    </row>
    <row r="24" spans="1:8" x14ac:dyDescent="0.25">
      <c r="A24" s="89"/>
      <c r="B24" s="85"/>
      <c r="C24" s="86"/>
      <c r="D24" s="87"/>
      <c r="E24" s="208"/>
      <c r="F24" s="209"/>
      <c r="G24" s="210"/>
      <c r="H24" s="210"/>
    </row>
    <row r="25" spans="1:8" ht="51" x14ac:dyDescent="0.25">
      <c r="A25" s="89" t="s">
        <v>310</v>
      </c>
      <c r="B25" s="85" t="s">
        <v>311</v>
      </c>
      <c r="C25" s="86" t="s">
        <v>312</v>
      </c>
      <c r="D25" s="87" t="s">
        <v>283</v>
      </c>
      <c r="E25" s="208">
        <f>'Memória sem piso'!F55</f>
        <v>45</v>
      </c>
      <c r="F25" s="209">
        <v>5.6</v>
      </c>
      <c r="G25" s="210">
        <f>TRUNC(F25*$G$7,2)</f>
        <v>7</v>
      </c>
      <c r="H25" s="210">
        <f>ROUND(SUM(E25*G25),2)</f>
        <v>315</v>
      </c>
    </row>
    <row r="26" spans="1:8" x14ac:dyDescent="0.25">
      <c r="A26" s="89"/>
      <c r="B26" s="85"/>
      <c r="C26" s="86"/>
      <c r="D26" s="87"/>
      <c r="E26" s="208"/>
      <c r="F26" s="209"/>
      <c r="G26" s="210"/>
      <c r="H26" s="210"/>
    </row>
    <row r="27" spans="1:8" ht="63.75" x14ac:dyDescent="0.25">
      <c r="A27" s="89" t="s">
        <v>313</v>
      </c>
      <c r="B27" s="85" t="s">
        <v>314</v>
      </c>
      <c r="C27" s="86" t="s">
        <v>315</v>
      </c>
      <c r="D27" s="87" t="s">
        <v>283</v>
      </c>
      <c r="E27" s="208">
        <f>'Memória sem piso'!F61</f>
        <v>45</v>
      </c>
      <c r="F27" s="209">
        <v>0.65</v>
      </c>
      <c r="G27" s="210">
        <f>TRUNC(F27*$G$7,2)</f>
        <v>0.81</v>
      </c>
      <c r="H27" s="210">
        <f>ROUND(SUM(E27*G27),2)</f>
        <v>36.450000000000003</v>
      </c>
    </row>
    <row r="28" spans="1:8" x14ac:dyDescent="0.25">
      <c r="A28" s="89"/>
      <c r="B28" s="85"/>
      <c r="C28" s="86"/>
      <c r="D28" s="87"/>
      <c r="E28" s="208"/>
      <c r="F28" s="209"/>
      <c r="G28" s="210"/>
      <c r="H28" s="210"/>
    </row>
    <row r="29" spans="1:8" ht="114.75" x14ac:dyDescent="0.25">
      <c r="A29" s="89" t="s">
        <v>316</v>
      </c>
      <c r="B29" s="85" t="s">
        <v>317</v>
      </c>
      <c r="C29" s="86" t="s">
        <v>318</v>
      </c>
      <c r="D29" s="87" t="s">
        <v>319</v>
      </c>
      <c r="E29" s="208">
        <v>59.4</v>
      </c>
      <c r="F29" s="209">
        <v>40.909999999999997</v>
      </c>
      <c r="G29" s="210">
        <f>TRUNC(F29*$G$7,2)</f>
        <v>51.13</v>
      </c>
      <c r="H29" s="210">
        <f>ROUND(SUM(E29*G29),2)</f>
        <v>3037.12</v>
      </c>
    </row>
    <row r="30" spans="1:8" x14ac:dyDescent="0.25">
      <c r="A30" s="89"/>
      <c r="B30" s="85"/>
      <c r="C30" s="86"/>
      <c r="D30" s="87"/>
      <c r="E30" s="208"/>
      <c r="F30" s="209"/>
      <c r="G30" s="210"/>
      <c r="H30" s="210"/>
    </row>
    <row r="31" spans="1:8" ht="89.25" x14ac:dyDescent="0.25">
      <c r="A31" s="89" t="s">
        <v>320</v>
      </c>
      <c r="B31" s="85" t="s">
        <v>321</v>
      </c>
      <c r="C31" s="86" t="s">
        <v>322</v>
      </c>
      <c r="D31" s="87" t="s">
        <v>283</v>
      </c>
      <c r="E31" s="208">
        <f>'Memória sem piso'!F75</f>
        <v>120</v>
      </c>
      <c r="F31" s="209">
        <v>0.73</v>
      </c>
      <c r="G31" s="210">
        <f>TRUNC(F31*$G$7,2)</f>
        <v>0.91</v>
      </c>
      <c r="H31" s="210">
        <f>ROUND(SUM(E31*G31),2)</f>
        <v>109.2</v>
      </c>
    </row>
    <row r="32" spans="1:8" x14ac:dyDescent="0.25">
      <c r="A32" s="91"/>
      <c r="B32" s="92"/>
      <c r="C32" s="93"/>
      <c r="D32" s="94"/>
      <c r="E32" s="211"/>
      <c r="F32" s="212"/>
      <c r="G32" s="213"/>
      <c r="H32" s="212"/>
    </row>
    <row r="33" spans="1:8" ht="15.75" customHeight="1" x14ac:dyDescent="0.25">
      <c r="A33" s="89"/>
      <c r="B33" s="95" t="s">
        <v>323</v>
      </c>
      <c r="C33" s="96" t="s">
        <v>324</v>
      </c>
      <c r="D33" s="87"/>
      <c r="E33" s="208"/>
      <c r="F33" s="214"/>
      <c r="G33" s="210"/>
      <c r="H33" s="215">
        <f>ROUND(SUM(H34:H62),2)</f>
        <v>49374.64</v>
      </c>
    </row>
    <row r="34" spans="1:8" ht="24.75" customHeight="1" x14ac:dyDescent="0.25">
      <c r="A34" s="89" t="s">
        <v>325</v>
      </c>
      <c r="B34" s="85" t="s">
        <v>326</v>
      </c>
      <c r="C34" s="86" t="s">
        <v>327</v>
      </c>
      <c r="D34" s="87" t="s">
        <v>328</v>
      </c>
      <c r="E34" s="208">
        <v>29.14</v>
      </c>
      <c r="F34" s="209">
        <v>71.73</v>
      </c>
      <c r="G34" s="210">
        <f>TRUNC(F34*$G$7,2)</f>
        <v>89.66</v>
      </c>
      <c r="H34" s="210">
        <f>ROUND(SUM(E34*G34),2)</f>
        <v>2612.69</v>
      </c>
    </row>
    <row r="35" spans="1:8" x14ac:dyDescent="0.25">
      <c r="A35" s="84"/>
      <c r="B35" s="85"/>
      <c r="C35" s="97"/>
      <c r="D35" s="87"/>
      <c r="E35" s="208"/>
      <c r="F35" s="209"/>
      <c r="G35" s="210"/>
      <c r="H35" s="210"/>
    </row>
    <row r="36" spans="1:8" ht="63.75" x14ac:dyDescent="0.25">
      <c r="A36" s="84" t="s">
        <v>329</v>
      </c>
      <c r="B36" s="85" t="s">
        <v>330</v>
      </c>
      <c r="C36" s="86" t="s">
        <v>331</v>
      </c>
      <c r="D36" s="87" t="s">
        <v>283</v>
      </c>
      <c r="E36" s="208">
        <v>104.64</v>
      </c>
      <c r="F36" s="209">
        <v>16.8</v>
      </c>
      <c r="G36" s="210">
        <f>TRUNC(F36*$G$7,2)</f>
        <v>21</v>
      </c>
      <c r="H36" s="210">
        <f>ROUND(SUM(E36*G36),2)</f>
        <v>2197.44</v>
      </c>
    </row>
    <row r="37" spans="1:8" x14ac:dyDescent="0.25">
      <c r="A37" s="84"/>
      <c r="B37" s="85"/>
      <c r="C37" s="86"/>
      <c r="D37" s="87"/>
      <c r="E37" s="208"/>
      <c r="F37" s="209"/>
      <c r="G37" s="210"/>
      <c r="H37" s="210"/>
    </row>
    <row r="38" spans="1:8" ht="29.25" customHeight="1" x14ac:dyDescent="0.25">
      <c r="A38" s="84" t="s">
        <v>332</v>
      </c>
      <c r="B38" s="85" t="s">
        <v>333</v>
      </c>
      <c r="C38" s="86" t="s">
        <v>334</v>
      </c>
      <c r="D38" s="87" t="s">
        <v>283</v>
      </c>
      <c r="E38" s="208">
        <v>104.64</v>
      </c>
      <c r="F38" s="209">
        <v>7</v>
      </c>
      <c r="G38" s="210">
        <f>TRUNC(F38*$G$7,2)</f>
        <v>8.75</v>
      </c>
      <c r="H38" s="210">
        <f>ROUND(SUM(E38*G38),2)</f>
        <v>915.6</v>
      </c>
    </row>
    <row r="39" spans="1:8" ht="14.25" customHeight="1" x14ac:dyDescent="0.25">
      <c r="A39" s="84"/>
      <c r="B39" s="85"/>
      <c r="C39" s="86"/>
      <c r="D39" s="87"/>
      <c r="E39" s="208"/>
      <c r="F39" s="209"/>
      <c r="G39" s="210"/>
      <c r="H39" s="210"/>
    </row>
    <row r="40" spans="1:8" ht="51" x14ac:dyDescent="0.25">
      <c r="A40" s="84" t="s">
        <v>335</v>
      </c>
      <c r="B40" s="85" t="s">
        <v>336</v>
      </c>
      <c r="C40" s="86" t="s">
        <v>337</v>
      </c>
      <c r="D40" s="87" t="s">
        <v>283</v>
      </c>
      <c r="E40" s="216">
        <v>148.35</v>
      </c>
      <c r="F40" s="209">
        <v>21.01</v>
      </c>
      <c r="G40" s="210">
        <f>TRUNC(F40*$G$7,2)</f>
        <v>26.26</v>
      </c>
      <c r="H40" s="210">
        <f>ROUND(SUM(E40*G40),2)</f>
        <v>3895.67</v>
      </c>
    </row>
    <row r="41" spans="1:8" x14ac:dyDescent="0.25">
      <c r="A41" s="84"/>
      <c r="B41" s="85"/>
      <c r="C41" s="86"/>
      <c r="D41" s="87"/>
      <c r="E41" s="208"/>
      <c r="F41" s="209"/>
      <c r="G41" s="210"/>
      <c r="H41" s="210"/>
    </row>
    <row r="42" spans="1:8" ht="25.5" x14ac:dyDescent="0.25">
      <c r="A42" s="84" t="s">
        <v>338</v>
      </c>
      <c r="B42" s="85" t="s">
        <v>339</v>
      </c>
      <c r="C42" s="86" t="s">
        <v>340</v>
      </c>
      <c r="D42" s="87" t="s">
        <v>295</v>
      </c>
      <c r="E42" s="208">
        <f>'Memória sem piso'!F131</f>
        <v>8</v>
      </c>
      <c r="F42" s="209">
        <v>16.64</v>
      </c>
      <c r="G42" s="210">
        <f>TRUNC(F42*$G$7,2)</f>
        <v>20.8</v>
      </c>
      <c r="H42" s="210">
        <f>ROUND(SUM(E42*G42),2)</f>
        <v>166.4</v>
      </c>
    </row>
    <row r="43" spans="1:8" x14ac:dyDescent="0.25">
      <c r="A43" s="84"/>
      <c r="B43" s="85"/>
      <c r="C43" s="86"/>
      <c r="D43" s="87"/>
      <c r="E43" s="208"/>
      <c r="F43" s="209"/>
      <c r="G43" s="210"/>
      <c r="H43" s="210"/>
    </row>
    <row r="44" spans="1:8" ht="51" x14ac:dyDescent="0.25">
      <c r="A44" s="84" t="s">
        <v>341</v>
      </c>
      <c r="B44" s="85" t="s">
        <v>342</v>
      </c>
      <c r="C44" s="86" t="s">
        <v>343</v>
      </c>
      <c r="D44" s="87" t="s">
        <v>344</v>
      </c>
      <c r="E44" s="208">
        <f>'Memória sem piso'!F139</f>
        <v>6</v>
      </c>
      <c r="F44" s="209">
        <v>33.340000000000003</v>
      </c>
      <c r="G44" s="210">
        <f>TRUNC(F44*$G$7,2)</f>
        <v>41.67</v>
      </c>
      <c r="H44" s="210">
        <f>ROUND(SUM(E44*G44),2)</f>
        <v>250.02</v>
      </c>
    </row>
    <row r="45" spans="1:8" x14ac:dyDescent="0.25">
      <c r="A45" s="84"/>
      <c r="B45" s="85"/>
      <c r="C45" s="86"/>
      <c r="D45" s="87"/>
      <c r="E45" s="208"/>
      <c r="F45" s="209"/>
      <c r="G45" s="210"/>
      <c r="H45" s="210"/>
    </row>
    <row r="46" spans="1:8" ht="76.5" x14ac:dyDescent="0.25">
      <c r="A46" s="84" t="s">
        <v>345</v>
      </c>
      <c r="B46" s="85" t="s">
        <v>346</v>
      </c>
      <c r="C46" s="86" t="s">
        <v>347</v>
      </c>
      <c r="D46" s="87" t="s">
        <v>283</v>
      </c>
      <c r="E46" s="216">
        <v>148.35</v>
      </c>
      <c r="F46" s="209">
        <v>21.01</v>
      </c>
      <c r="G46" s="209">
        <f>TRUNC(F46*$G$7,2)</f>
        <v>26.26</v>
      </c>
      <c r="H46" s="210">
        <f>ROUND(SUM(E46*G46),2)</f>
        <v>3895.67</v>
      </c>
    </row>
    <row r="47" spans="1:8" x14ac:dyDescent="0.25">
      <c r="A47" s="84"/>
      <c r="B47" s="85"/>
      <c r="C47" s="86"/>
      <c r="D47" s="98"/>
      <c r="E47" s="217"/>
      <c r="F47" s="209"/>
      <c r="G47" s="209"/>
      <c r="H47" s="210"/>
    </row>
    <row r="48" spans="1:8" ht="38.25" x14ac:dyDescent="0.25">
      <c r="A48" s="84" t="s">
        <v>348</v>
      </c>
      <c r="B48" s="85" t="s">
        <v>349</v>
      </c>
      <c r="C48" s="86" t="s">
        <v>350</v>
      </c>
      <c r="D48" s="98" t="s">
        <v>283</v>
      </c>
      <c r="E48" s="217">
        <v>104.64</v>
      </c>
      <c r="F48" s="209">
        <v>7</v>
      </c>
      <c r="G48" s="209">
        <f>TRUNC(F48*$G$7,2)</f>
        <v>8.75</v>
      </c>
      <c r="H48" s="210">
        <f>ROUND(SUM(E48*G48),2)</f>
        <v>915.6</v>
      </c>
    </row>
    <row r="49" spans="1:8" x14ac:dyDescent="0.25">
      <c r="A49" s="84"/>
      <c r="B49" s="85"/>
      <c r="C49" s="97"/>
      <c r="D49" s="98"/>
      <c r="E49" s="217"/>
      <c r="F49" s="209"/>
      <c r="G49" s="209"/>
      <c r="H49" s="210"/>
    </row>
    <row r="50" spans="1:8" ht="18" customHeight="1" x14ac:dyDescent="0.25">
      <c r="A50" s="84" t="s">
        <v>351</v>
      </c>
      <c r="B50" s="99" t="s">
        <v>352</v>
      </c>
      <c r="C50" s="100" t="s">
        <v>353</v>
      </c>
      <c r="D50" s="98" t="s">
        <v>295</v>
      </c>
      <c r="E50" s="217">
        <f>'Memória sem piso'!F170</f>
        <v>8</v>
      </c>
      <c r="F50" s="209">
        <v>19.8</v>
      </c>
      <c r="G50" s="209">
        <f>TRUNC(F50*$G$7,2)</f>
        <v>24.75</v>
      </c>
      <c r="H50" s="210">
        <f>ROUND(SUM(E50*G50),2)</f>
        <v>198</v>
      </c>
    </row>
    <row r="51" spans="1:8" ht="18" customHeight="1" x14ac:dyDescent="0.25">
      <c r="A51" s="101"/>
      <c r="B51" s="85"/>
      <c r="C51" s="102"/>
      <c r="D51" s="98"/>
      <c r="E51" s="217"/>
      <c r="F51" s="209"/>
      <c r="G51" s="209"/>
      <c r="H51" s="210"/>
    </row>
    <row r="52" spans="1:8" ht="76.5" x14ac:dyDescent="0.25">
      <c r="A52" s="84" t="s">
        <v>354</v>
      </c>
      <c r="B52" s="85" t="s">
        <v>355</v>
      </c>
      <c r="C52" s="103" t="s">
        <v>356</v>
      </c>
      <c r="D52" s="98" t="s">
        <v>283</v>
      </c>
      <c r="E52" s="217">
        <v>571</v>
      </c>
      <c r="F52" s="209">
        <v>12.16</v>
      </c>
      <c r="G52" s="209">
        <f>TRUNC(F52*$G$7,2)</f>
        <v>15.2</v>
      </c>
      <c r="H52" s="210">
        <f>ROUND(SUM(E52*G52),2)</f>
        <v>8679.2000000000007</v>
      </c>
    </row>
    <row r="53" spans="1:8" x14ac:dyDescent="0.25">
      <c r="A53" s="84"/>
      <c r="B53" s="85"/>
      <c r="C53" s="103"/>
      <c r="D53" s="98"/>
      <c r="E53" s="217"/>
      <c r="F53" s="218"/>
      <c r="G53" s="209"/>
      <c r="H53" s="210"/>
    </row>
    <row r="54" spans="1:8" ht="114.75" x14ac:dyDescent="0.25">
      <c r="A54" s="84" t="s">
        <v>357</v>
      </c>
      <c r="B54" s="85" t="s">
        <v>358</v>
      </c>
      <c r="C54" s="86" t="s">
        <v>359</v>
      </c>
      <c r="D54" s="98" t="s">
        <v>283</v>
      </c>
      <c r="E54" s="219">
        <v>198</v>
      </c>
      <c r="F54" s="218">
        <v>37.82</v>
      </c>
      <c r="G54" s="209">
        <f>TRUNC(F54*$G$7,2)</f>
        <v>47.27</v>
      </c>
      <c r="H54" s="210">
        <f>ROUND(SUM(E54*G54),2)</f>
        <v>9359.4599999999991</v>
      </c>
    </row>
    <row r="55" spans="1:8" x14ac:dyDescent="0.25">
      <c r="A55" s="84"/>
      <c r="B55" s="85"/>
      <c r="C55" s="86"/>
      <c r="D55" s="98"/>
      <c r="E55" s="219"/>
      <c r="F55" s="218"/>
      <c r="G55" s="209"/>
      <c r="H55" s="210"/>
    </row>
    <row r="56" spans="1:8" ht="38.25" x14ac:dyDescent="0.25">
      <c r="A56" s="84" t="s">
        <v>360</v>
      </c>
      <c r="B56" s="85" t="s">
        <v>361</v>
      </c>
      <c r="C56" s="86" t="s">
        <v>362</v>
      </c>
      <c r="D56" s="98" t="s">
        <v>283</v>
      </c>
      <c r="E56" s="219">
        <v>368.12</v>
      </c>
      <c r="F56" s="218">
        <v>5.46</v>
      </c>
      <c r="G56" s="209">
        <f>TRUNC(F56*$G$7,2)</f>
        <v>6.82</v>
      </c>
      <c r="H56" s="210">
        <f>ROUND(SUM(E56*G56),2)</f>
        <v>2510.58</v>
      </c>
    </row>
    <row r="57" spans="1:8" x14ac:dyDescent="0.25">
      <c r="A57" s="84"/>
      <c r="B57" s="85"/>
      <c r="C57" s="86"/>
      <c r="D57" s="98"/>
      <c r="E57" s="219"/>
      <c r="F57" s="218"/>
      <c r="G57" s="209"/>
      <c r="H57" s="210"/>
    </row>
    <row r="58" spans="1:8" ht="51" x14ac:dyDescent="0.25">
      <c r="A58" s="84" t="s">
        <v>363</v>
      </c>
      <c r="B58" s="85" t="s">
        <v>364</v>
      </c>
      <c r="C58" s="86" t="s">
        <v>365</v>
      </c>
      <c r="D58" s="98" t="s">
        <v>283</v>
      </c>
      <c r="E58" s="219">
        <v>506.42</v>
      </c>
      <c r="F58" s="218">
        <v>17.46</v>
      </c>
      <c r="G58" s="209">
        <f>TRUNC(F58*$G$7,2)</f>
        <v>21.82</v>
      </c>
      <c r="H58" s="210">
        <f>ROUND(SUM(E58*G58),2)</f>
        <v>11050.08</v>
      </c>
    </row>
    <row r="59" spans="1:8" x14ac:dyDescent="0.25">
      <c r="A59" s="84"/>
      <c r="B59" s="85"/>
      <c r="C59" s="86"/>
      <c r="D59" s="98"/>
      <c r="E59" s="219"/>
      <c r="F59" s="218"/>
      <c r="G59" s="209"/>
      <c r="H59" s="210"/>
    </row>
    <row r="60" spans="1:8" ht="114.75" x14ac:dyDescent="0.25">
      <c r="A60" s="84" t="s">
        <v>366</v>
      </c>
      <c r="B60" s="85" t="s">
        <v>367</v>
      </c>
      <c r="C60" s="86" t="s">
        <v>368</v>
      </c>
      <c r="D60" s="98" t="s">
        <v>295</v>
      </c>
      <c r="E60" s="220">
        <f>'Memória sem piso'!F211</f>
        <v>7</v>
      </c>
      <c r="F60" s="218">
        <v>238.4</v>
      </c>
      <c r="G60" s="209">
        <f>TRUNC(F60*$G$7,2)</f>
        <v>298</v>
      </c>
      <c r="H60" s="210">
        <f>ROUND(SUM(E60*G60),2)</f>
        <v>2086</v>
      </c>
    </row>
    <row r="61" spans="1:8" x14ac:dyDescent="0.25">
      <c r="A61" s="84"/>
      <c r="B61" s="85"/>
      <c r="C61" s="97"/>
      <c r="D61" s="98"/>
      <c r="E61" s="220"/>
      <c r="F61" s="218"/>
      <c r="G61" s="209"/>
      <c r="H61" s="210"/>
    </row>
    <row r="62" spans="1:8" ht="63.75" x14ac:dyDescent="0.25">
      <c r="A62" s="84" t="s">
        <v>369</v>
      </c>
      <c r="B62" s="85" t="s">
        <v>370</v>
      </c>
      <c r="C62" s="86" t="s">
        <v>371</v>
      </c>
      <c r="D62" s="98" t="s">
        <v>328</v>
      </c>
      <c r="E62" s="220">
        <v>31.92</v>
      </c>
      <c r="F62" s="218">
        <v>16.100000000000001</v>
      </c>
      <c r="G62" s="209">
        <f>TRUNC(F62*$G$7,2)</f>
        <v>20.12</v>
      </c>
      <c r="H62" s="210">
        <f>ROUND(SUM(E62*G62),2)</f>
        <v>642.23</v>
      </c>
    </row>
    <row r="63" spans="1:8" ht="15.75" customHeight="1" x14ac:dyDescent="0.25">
      <c r="A63" s="104"/>
      <c r="B63" s="105"/>
      <c r="C63" s="106"/>
      <c r="D63" s="107"/>
      <c r="E63" s="221"/>
      <c r="F63" s="222"/>
      <c r="G63" s="212"/>
      <c r="H63" s="213"/>
    </row>
    <row r="64" spans="1:8" ht="15.75" customHeight="1" x14ac:dyDescent="0.25">
      <c r="A64" s="84"/>
      <c r="B64" s="95" t="s">
        <v>372</v>
      </c>
      <c r="C64" s="96" t="s">
        <v>373</v>
      </c>
      <c r="D64" s="87"/>
      <c r="E64" s="208"/>
      <c r="F64" s="223"/>
      <c r="G64" s="209"/>
      <c r="H64" s="207">
        <f>ROUND(SUM(H65:H69),2)</f>
        <v>15118.44</v>
      </c>
    </row>
    <row r="65" spans="1:8" ht="102" x14ac:dyDescent="0.25">
      <c r="A65" s="84" t="s">
        <v>374</v>
      </c>
      <c r="B65" s="85" t="s">
        <v>375</v>
      </c>
      <c r="C65" s="86" t="s">
        <v>376</v>
      </c>
      <c r="D65" s="87" t="s">
        <v>283</v>
      </c>
      <c r="E65" s="208">
        <v>65.48</v>
      </c>
      <c r="F65" s="209">
        <v>45.07</v>
      </c>
      <c r="G65" s="209">
        <f>TRUNC(F65*$G$7,2)</f>
        <v>56.33</v>
      </c>
      <c r="H65" s="210">
        <f>ROUND(SUM(E65*G65),2)</f>
        <v>3688.49</v>
      </c>
    </row>
    <row r="66" spans="1:8" x14ac:dyDescent="0.25">
      <c r="A66" s="84"/>
      <c r="B66" s="85"/>
      <c r="C66" s="86"/>
      <c r="D66" s="87"/>
      <c r="E66" s="208"/>
      <c r="F66" s="209"/>
      <c r="G66" s="209"/>
      <c r="H66" s="210"/>
    </row>
    <row r="67" spans="1:8" ht="39" customHeight="1" x14ac:dyDescent="0.25">
      <c r="A67" s="89" t="s">
        <v>377</v>
      </c>
      <c r="B67" s="85" t="s">
        <v>378</v>
      </c>
      <c r="C67" s="108" t="s">
        <v>379</v>
      </c>
      <c r="D67" s="87" t="s">
        <v>283</v>
      </c>
      <c r="E67" s="208">
        <v>31.61</v>
      </c>
      <c r="F67" s="209">
        <v>283.8</v>
      </c>
      <c r="G67" s="209">
        <f>TRUNC(F67*$G$7,2)</f>
        <v>354.75</v>
      </c>
      <c r="H67" s="210">
        <f>ROUND(SUM(E67*G67),2)</f>
        <v>11213.65</v>
      </c>
    </row>
    <row r="68" spans="1:8" ht="15" customHeight="1" x14ac:dyDescent="0.25">
      <c r="A68" s="84"/>
      <c r="B68" s="85"/>
      <c r="C68" s="109"/>
      <c r="D68" s="87"/>
      <c r="E68" s="208"/>
      <c r="F68" s="209"/>
      <c r="G68" s="210"/>
      <c r="H68" s="210"/>
    </row>
    <row r="69" spans="1:8" ht="30" customHeight="1" x14ac:dyDescent="0.25">
      <c r="A69" s="110" t="s">
        <v>380</v>
      </c>
      <c r="B69" s="92" t="s">
        <v>381</v>
      </c>
      <c r="C69" s="111" t="s">
        <v>382</v>
      </c>
      <c r="D69" s="94" t="s">
        <v>328</v>
      </c>
      <c r="E69" s="211">
        <v>0.11700000000000001</v>
      </c>
      <c r="F69" s="212">
        <v>1478.97</v>
      </c>
      <c r="G69" s="213">
        <f>TRUNC(F69*$G$7,2)</f>
        <v>1848.71</v>
      </c>
      <c r="H69" s="210">
        <f>ROUND(SUM(E69*G69),2)</f>
        <v>216.3</v>
      </c>
    </row>
    <row r="70" spans="1:8" ht="15.75" customHeight="1" x14ac:dyDescent="0.25">
      <c r="A70" s="84"/>
      <c r="B70" s="95" t="s">
        <v>383</v>
      </c>
      <c r="C70" s="96" t="s">
        <v>384</v>
      </c>
      <c r="D70" s="87"/>
      <c r="E70" s="208"/>
      <c r="F70" s="209"/>
      <c r="G70" s="210"/>
      <c r="H70" s="207">
        <f>ROUND(SUM(H71:H93),2)</f>
        <v>112225</v>
      </c>
    </row>
    <row r="71" spans="1:8" ht="28.5" customHeight="1" x14ac:dyDescent="0.25">
      <c r="A71" s="112" t="s">
        <v>385</v>
      </c>
      <c r="B71" s="113" t="s">
        <v>386</v>
      </c>
      <c r="C71" s="114" t="s">
        <v>387</v>
      </c>
      <c r="D71" s="87" t="s">
        <v>283</v>
      </c>
      <c r="E71" s="208">
        <v>130.97</v>
      </c>
      <c r="F71" s="209">
        <v>4.68</v>
      </c>
      <c r="G71" s="210">
        <f>TRUNC(F71*$G$7,2)</f>
        <v>5.85</v>
      </c>
      <c r="H71" s="210">
        <f>ROUND(SUM(E71*G71),2)</f>
        <v>766.17</v>
      </c>
    </row>
    <row r="72" spans="1:8" ht="14.25" customHeight="1" x14ac:dyDescent="0.25">
      <c r="A72" s="112"/>
      <c r="B72" s="113"/>
      <c r="C72" s="114"/>
      <c r="D72" s="87"/>
      <c r="E72" s="208"/>
      <c r="F72" s="209"/>
      <c r="G72" s="210"/>
      <c r="H72" s="210"/>
    </row>
    <row r="73" spans="1:8" ht="36" customHeight="1" x14ac:dyDescent="0.25">
      <c r="A73" s="112" t="s">
        <v>388</v>
      </c>
      <c r="B73" s="113" t="s">
        <v>389</v>
      </c>
      <c r="C73" s="114" t="s">
        <v>390</v>
      </c>
      <c r="D73" s="87" t="s">
        <v>283</v>
      </c>
      <c r="E73" s="208">
        <v>130.97</v>
      </c>
      <c r="F73" s="209">
        <v>17.920000000000002</v>
      </c>
      <c r="G73" s="210">
        <f>TRUNC(F73*$G$7,2)</f>
        <v>22.4</v>
      </c>
      <c r="H73" s="210">
        <f>ROUND(SUM(E73*G73),2)</f>
        <v>2933.73</v>
      </c>
    </row>
    <row r="74" spans="1:8" ht="16.5" customHeight="1" x14ac:dyDescent="0.25">
      <c r="A74" s="112"/>
      <c r="B74" s="113"/>
      <c r="C74" s="114"/>
      <c r="D74" s="87"/>
      <c r="E74" s="208"/>
      <c r="F74" s="209"/>
      <c r="G74" s="210"/>
      <c r="H74" s="210"/>
    </row>
    <row r="75" spans="1:8" ht="36" customHeight="1" x14ac:dyDescent="0.25">
      <c r="A75" s="112" t="s">
        <v>391</v>
      </c>
      <c r="B75" s="113" t="s">
        <v>392</v>
      </c>
      <c r="C75" s="114" t="s">
        <v>393</v>
      </c>
      <c r="D75" s="87" t="s">
        <v>283</v>
      </c>
      <c r="E75" s="208">
        <v>506.42</v>
      </c>
      <c r="F75" s="209">
        <v>14.31</v>
      </c>
      <c r="G75" s="210">
        <f>TRUNC(F75*$G$7,2)</f>
        <v>17.88</v>
      </c>
      <c r="H75" s="210">
        <f>ROUND(SUM(E75*G75),2)</f>
        <v>9054.7900000000009</v>
      </c>
    </row>
    <row r="76" spans="1:8" ht="13.5" customHeight="1" x14ac:dyDescent="0.25">
      <c r="A76" s="112"/>
      <c r="B76" s="113"/>
      <c r="C76" s="115"/>
      <c r="D76" s="87"/>
      <c r="E76" s="208"/>
      <c r="F76" s="209"/>
      <c r="G76" s="210"/>
      <c r="H76" s="210"/>
    </row>
    <row r="77" spans="1:8" ht="28.5" customHeight="1" x14ac:dyDescent="0.25">
      <c r="A77" s="112" t="s">
        <v>394</v>
      </c>
      <c r="B77" s="113" t="s">
        <v>395</v>
      </c>
      <c r="C77" s="114" t="s">
        <v>396</v>
      </c>
      <c r="D77" s="87" t="s">
        <v>283</v>
      </c>
      <c r="E77" s="208">
        <v>143.63999999999999</v>
      </c>
      <c r="F77" s="209">
        <v>88.36</v>
      </c>
      <c r="G77" s="210">
        <f>TRUNC(F77*$G$7,2)</f>
        <v>110.45</v>
      </c>
      <c r="H77" s="210">
        <f>ROUND(SUM(E77*G77),2)</f>
        <v>15865.04</v>
      </c>
    </row>
    <row r="78" spans="1:8" ht="13.5" customHeight="1" x14ac:dyDescent="0.25">
      <c r="A78" s="112"/>
      <c r="B78" s="113"/>
      <c r="C78" s="114"/>
      <c r="D78" s="87"/>
      <c r="E78" s="208"/>
      <c r="F78" s="209"/>
      <c r="G78" s="210"/>
      <c r="H78" s="210"/>
    </row>
    <row r="79" spans="1:8" ht="25.5" customHeight="1" x14ac:dyDescent="0.25">
      <c r="A79" s="112" t="s">
        <v>397</v>
      </c>
      <c r="B79" s="113" t="s">
        <v>398</v>
      </c>
      <c r="C79" s="114" t="s">
        <v>399</v>
      </c>
      <c r="D79" s="87" t="s">
        <v>283</v>
      </c>
      <c r="E79" s="208">
        <v>143.80000000000001</v>
      </c>
      <c r="F79" s="209">
        <v>31.97</v>
      </c>
      <c r="G79" s="210">
        <f>TRUNC(F79*$G$7,2)</f>
        <v>39.96</v>
      </c>
      <c r="H79" s="210">
        <f>ROUND(SUM(E79*G79),2)</f>
        <v>5746.25</v>
      </c>
    </row>
    <row r="80" spans="1:8" ht="15.75" customHeight="1" x14ac:dyDescent="0.25">
      <c r="A80" s="112"/>
      <c r="B80" s="113"/>
      <c r="C80" s="114"/>
      <c r="D80" s="87"/>
      <c r="E80" s="208"/>
      <c r="F80" s="209"/>
      <c r="G80" s="210"/>
      <c r="H80" s="210"/>
    </row>
    <row r="81" spans="1:8" ht="49.5" customHeight="1" x14ac:dyDescent="0.25">
      <c r="A81" s="112" t="s">
        <v>400</v>
      </c>
      <c r="B81" s="113" t="s">
        <v>401</v>
      </c>
      <c r="C81" s="114" t="s">
        <v>402</v>
      </c>
      <c r="D81" s="87" t="s">
        <v>283</v>
      </c>
      <c r="E81" s="208">
        <v>55.87</v>
      </c>
      <c r="F81" s="209">
        <v>156.1</v>
      </c>
      <c r="G81" s="210">
        <f>TRUNC(F81*$G$7,2)</f>
        <v>195.12</v>
      </c>
      <c r="H81" s="210">
        <f>ROUND(SUM(E81*G81),2)</f>
        <v>10901.35</v>
      </c>
    </row>
    <row r="82" spans="1:8" ht="15.75" customHeight="1" x14ac:dyDescent="0.25">
      <c r="A82" s="112"/>
      <c r="B82" s="113"/>
      <c r="C82" s="114"/>
      <c r="D82" s="87"/>
      <c r="E82" s="208"/>
      <c r="F82" s="209"/>
      <c r="G82" s="210"/>
      <c r="H82" s="210"/>
    </row>
    <row r="83" spans="1:8" ht="35.25" customHeight="1" x14ac:dyDescent="0.25">
      <c r="A83" s="112" t="s">
        <v>403</v>
      </c>
      <c r="B83" s="116" t="s">
        <v>404</v>
      </c>
      <c r="C83" s="114" t="s">
        <v>405</v>
      </c>
      <c r="D83" s="87" t="s">
        <v>283</v>
      </c>
      <c r="E83" s="208">
        <v>393.58</v>
      </c>
      <c r="F83" s="209">
        <v>110.8</v>
      </c>
      <c r="G83" s="210">
        <f>TRUNC(F83*$G$7,2)</f>
        <v>138.5</v>
      </c>
      <c r="H83" s="210">
        <f>ROUND(SUM(E83*G83),2)</f>
        <v>54510.83</v>
      </c>
    </row>
    <row r="84" spans="1:8" x14ac:dyDescent="0.25">
      <c r="A84" s="112"/>
      <c r="B84" s="113"/>
      <c r="C84" s="114"/>
      <c r="D84" s="87"/>
      <c r="E84" s="208"/>
      <c r="F84" s="209"/>
      <c r="G84" s="210"/>
      <c r="H84" s="210"/>
    </row>
    <row r="85" spans="1:8" ht="37.5" customHeight="1" x14ac:dyDescent="0.25">
      <c r="A85" s="112" t="s">
        <v>406</v>
      </c>
      <c r="B85" s="113" t="s">
        <v>407</v>
      </c>
      <c r="C85" s="114" t="s">
        <v>408</v>
      </c>
      <c r="D85" s="87" t="s">
        <v>283</v>
      </c>
      <c r="E85" s="208">
        <v>37.450000000000003</v>
      </c>
      <c r="F85" s="209">
        <v>147.34</v>
      </c>
      <c r="G85" s="210">
        <f>TRUNC(F85*$G$7,2)</f>
        <v>184.17</v>
      </c>
      <c r="H85" s="210">
        <f>ROUND(SUM(E85*G85),2)</f>
        <v>6897.17</v>
      </c>
    </row>
    <row r="86" spans="1:8" ht="15.75" customHeight="1" x14ac:dyDescent="0.25">
      <c r="A86" s="84"/>
      <c r="B86" s="85"/>
      <c r="C86" s="115"/>
      <c r="D86" s="87"/>
      <c r="E86" s="208"/>
      <c r="F86" s="209"/>
      <c r="G86" s="210"/>
      <c r="H86" s="210"/>
    </row>
    <row r="87" spans="1:8" ht="36" customHeight="1" x14ac:dyDescent="0.25">
      <c r="A87" s="112" t="s">
        <v>409</v>
      </c>
      <c r="B87" s="113" t="s">
        <v>410</v>
      </c>
      <c r="C87" s="114" t="s">
        <v>411</v>
      </c>
      <c r="D87" s="87" t="s">
        <v>283</v>
      </c>
      <c r="E87" s="208">
        <v>5.6</v>
      </c>
      <c r="F87" s="209">
        <f>76.45</f>
        <v>76.45</v>
      </c>
      <c r="G87" s="210">
        <f>TRUNC(F87*$G$7,2)</f>
        <v>95.56</v>
      </c>
      <c r="H87" s="210">
        <f>ROUND(SUM(E87*G87),2)</f>
        <v>535.14</v>
      </c>
    </row>
    <row r="88" spans="1:8" ht="15.75" customHeight="1" x14ac:dyDescent="0.25">
      <c r="A88" s="112"/>
      <c r="B88" s="113"/>
      <c r="C88" s="114"/>
      <c r="D88" s="87"/>
      <c r="E88" s="208"/>
      <c r="F88" s="209"/>
      <c r="G88" s="210"/>
      <c r="H88" s="210"/>
    </row>
    <row r="89" spans="1:8" ht="26.25" customHeight="1" x14ac:dyDescent="0.25">
      <c r="A89" s="112" t="s">
        <v>412</v>
      </c>
      <c r="B89" s="113" t="s">
        <v>413</v>
      </c>
      <c r="C89" s="114" t="s">
        <v>414</v>
      </c>
      <c r="D89" s="87" t="s">
        <v>344</v>
      </c>
      <c r="E89" s="208">
        <v>17.7</v>
      </c>
      <c r="F89" s="209">
        <v>35.97</v>
      </c>
      <c r="G89" s="210">
        <f>TRUNC(F89*$G$7,2)</f>
        <v>44.96</v>
      </c>
      <c r="H89" s="210">
        <f>ROUND(SUM(E89*G89),2)</f>
        <v>795.79</v>
      </c>
    </row>
    <row r="90" spans="1:8" ht="15.75" customHeight="1" x14ac:dyDescent="0.25">
      <c r="A90" s="112"/>
      <c r="B90" s="113"/>
      <c r="C90" s="114"/>
      <c r="D90" s="87"/>
      <c r="E90" s="208"/>
      <c r="F90" s="209"/>
      <c r="G90" s="210"/>
      <c r="H90" s="210"/>
    </row>
    <row r="91" spans="1:8" ht="44.25" customHeight="1" x14ac:dyDescent="0.25">
      <c r="A91" s="112" t="s">
        <v>415</v>
      </c>
      <c r="B91" s="112" t="s">
        <v>416</v>
      </c>
      <c r="C91" s="117" t="s">
        <v>417</v>
      </c>
      <c r="D91" s="87" t="s">
        <v>344</v>
      </c>
      <c r="E91" s="208">
        <v>8.56</v>
      </c>
      <c r="F91" s="209">
        <v>19.98</v>
      </c>
      <c r="G91" s="210">
        <f>TRUNC(F91*$G$7,2)</f>
        <v>24.97</v>
      </c>
      <c r="H91" s="210">
        <f>ROUND(SUM(E91*G91),2)</f>
        <v>213.74</v>
      </c>
    </row>
    <row r="92" spans="1:8" ht="17.25" customHeight="1" x14ac:dyDescent="0.25">
      <c r="A92" s="112"/>
      <c r="B92" s="113"/>
      <c r="C92" s="114"/>
      <c r="D92" s="87"/>
      <c r="E92" s="208"/>
      <c r="F92" s="209"/>
      <c r="G92" s="210"/>
      <c r="H92" s="210"/>
    </row>
    <row r="93" spans="1:8" ht="55.5" customHeight="1" x14ac:dyDescent="0.25">
      <c r="A93" s="118" t="s">
        <v>418</v>
      </c>
      <c r="B93" s="116" t="s">
        <v>419</v>
      </c>
      <c r="C93" s="119" t="s">
        <v>420</v>
      </c>
      <c r="D93" s="87" t="s">
        <v>283</v>
      </c>
      <c r="E93" s="216">
        <v>71.2</v>
      </c>
      <c r="F93" s="224">
        <v>45</v>
      </c>
      <c r="G93" s="225">
        <f>TRUNC(F93*$G$7,2)</f>
        <v>56.25</v>
      </c>
      <c r="H93" s="210">
        <f>ROUND(SUM(E93*G93),2)</f>
        <v>4005</v>
      </c>
    </row>
    <row r="94" spans="1:8" ht="15.75" customHeight="1" x14ac:dyDescent="0.25">
      <c r="A94" s="120"/>
      <c r="B94" s="81" t="s">
        <v>421</v>
      </c>
      <c r="C94" s="82" t="s">
        <v>422</v>
      </c>
      <c r="D94" s="121"/>
      <c r="E94" s="226"/>
      <c r="F94" s="227"/>
      <c r="G94" s="228"/>
      <c r="H94" s="207">
        <f>ROUND(SUM(H95:H109),2)</f>
        <v>12105.88</v>
      </c>
    </row>
    <row r="95" spans="1:8" ht="102" x14ac:dyDescent="0.25">
      <c r="A95" s="84" t="s">
        <v>423</v>
      </c>
      <c r="B95" s="85" t="s">
        <v>424</v>
      </c>
      <c r="C95" s="86" t="s">
        <v>425</v>
      </c>
      <c r="D95" s="87" t="s">
        <v>295</v>
      </c>
      <c r="E95" s="208">
        <f>'Memória sem piso'!F395</f>
        <v>4</v>
      </c>
      <c r="F95" s="209">
        <v>448.78</v>
      </c>
      <c r="G95" s="210">
        <f>TRUNC(F95*$G$7,2)</f>
        <v>560.97</v>
      </c>
      <c r="H95" s="210">
        <f>ROUND(SUM(E95*G95),2)</f>
        <v>2243.88</v>
      </c>
    </row>
    <row r="96" spans="1:8" x14ac:dyDescent="0.25">
      <c r="A96" s="84"/>
      <c r="B96" s="85"/>
      <c r="C96" s="97"/>
      <c r="D96" s="87"/>
      <c r="E96" s="208"/>
      <c r="F96" s="209"/>
      <c r="G96" s="210"/>
      <c r="H96" s="210"/>
    </row>
    <row r="97" spans="1:9" ht="102" x14ac:dyDescent="0.25">
      <c r="A97" s="84" t="s">
        <v>426</v>
      </c>
      <c r="B97" s="85" t="s">
        <v>427</v>
      </c>
      <c r="C97" s="86" t="s">
        <v>428</v>
      </c>
      <c r="D97" s="87" t="s">
        <v>295</v>
      </c>
      <c r="E97" s="208">
        <f>'Memória sem piso'!F401</f>
        <v>3</v>
      </c>
      <c r="F97" s="209">
        <v>407.27</v>
      </c>
      <c r="G97" s="210">
        <f>TRUNC(F97*$G$7,2)</f>
        <v>509.08</v>
      </c>
      <c r="H97" s="210">
        <f>ROUND(SUM(E97*G97),2)</f>
        <v>1527.24</v>
      </c>
    </row>
    <row r="98" spans="1:9" x14ac:dyDescent="0.25">
      <c r="A98" s="84"/>
      <c r="B98" s="85"/>
      <c r="C98" s="86"/>
      <c r="D98" s="87"/>
      <c r="E98" s="208"/>
      <c r="F98" s="209"/>
      <c r="G98" s="210"/>
      <c r="H98" s="210"/>
    </row>
    <row r="99" spans="1:9" ht="102" x14ac:dyDescent="0.25">
      <c r="A99" s="84" t="s">
        <v>429</v>
      </c>
      <c r="B99" s="85" t="s">
        <v>430</v>
      </c>
      <c r="C99" s="86" t="s">
        <v>431</v>
      </c>
      <c r="D99" s="87" t="s">
        <v>295</v>
      </c>
      <c r="E99" s="208">
        <f>'Memória sem piso'!F407</f>
        <v>1</v>
      </c>
      <c r="F99" s="209">
        <v>398.83</v>
      </c>
      <c r="G99" s="210">
        <f>TRUNC(F99*$G$7,2)</f>
        <v>498.53</v>
      </c>
      <c r="H99" s="210">
        <f>ROUND(SUM(E99*G99),2)</f>
        <v>498.53</v>
      </c>
    </row>
    <row r="100" spans="1:9" x14ac:dyDescent="0.25">
      <c r="A100" s="84"/>
      <c r="B100" s="85"/>
      <c r="C100" s="97"/>
      <c r="D100" s="87"/>
      <c r="E100" s="208"/>
      <c r="F100" s="209"/>
      <c r="G100" s="210"/>
      <c r="H100" s="210"/>
    </row>
    <row r="101" spans="1:9" x14ac:dyDescent="0.25">
      <c r="A101" s="84" t="s">
        <v>432</v>
      </c>
      <c r="B101" s="85" t="s">
        <v>433</v>
      </c>
      <c r="C101" s="86" t="s">
        <v>434</v>
      </c>
      <c r="D101" s="87" t="s">
        <v>283</v>
      </c>
      <c r="E101" s="208">
        <v>8.64</v>
      </c>
      <c r="F101" s="209">
        <f>Composição!G1</f>
        <v>358.46999999999997</v>
      </c>
      <c r="G101" s="210">
        <f>TRUNC(F101*$G$7,2)</f>
        <v>448.08</v>
      </c>
      <c r="H101" s="210">
        <f>ROUND(SUM(E101*G101),2)</f>
        <v>3871.41</v>
      </c>
    </row>
    <row r="102" spans="1:9" x14ac:dyDescent="0.25">
      <c r="A102" s="84"/>
      <c r="B102" s="85"/>
      <c r="C102" s="97"/>
      <c r="D102" s="87"/>
      <c r="E102" s="208"/>
      <c r="F102" s="209"/>
      <c r="G102" s="210"/>
      <c r="H102" s="210"/>
    </row>
    <row r="103" spans="1:9" ht="96.75" customHeight="1" x14ac:dyDescent="0.25">
      <c r="A103" s="84" t="s">
        <v>435</v>
      </c>
      <c r="B103" s="85" t="s">
        <v>436</v>
      </c>
      <c r="C103" s="114" t="s">
        <v>437</v>
      </c>
      <c r="D103" s="87" t="s">
        <v>295</v>
      </c>
      <c r="E103" s="208">
        <f>'Memória sem piso'!F425</f>
        <v>6</v>
      </c>
      <c r="F103" s="209">
        <v>175.62</v>
      </c>
      <c r="G103" s="210">
        <f>TRUNC(F103*$G$7,2)</f>
        <v>219.52</v>
      </c>
      <c r="H103" s="210">
        <f>ROUND(SUM(E103*G103),2)</f>
        <v>1317.12</v>
      </c>
    </row>
    <row r="104" spans="1:9" x14ac:dyDescent="0.25">
      <c r="A104" s="84"/>
      <c r="B104" s="85"/>
      <c r="C104" s="114"/>
      <c r="D104" s="87"/>
      <c r="E104" s="208"/>
      <c r="F104" s="209"/>
      <c r="G104" s="210"/>
      <c r="H104" s="210"/>
    </row>
    <row r="105" spans="1:9" ht="153" x14ac:dyDescent="0.25">
      <c r="A105" s="84" t="s">
        <v>438</v>
      </c>
      <c r="B105" s="85" t="s">
        <v>439</v>
      </c>
      <c r="C105" s="114" t="s">
        <v>440</v>
      </c>
      <c r="D105" s="87" t="s">
        <v>295</v>
      </c>
      <c r="E105" s="208">
        <f>'Memória sem piso'!F432</f>
        <v>4</v>
      </c>
      <c r="F105" s="209">
        <v>88.48</v>
      </c>
      <c r="G105" s="210">
        <f>TRUNC(F105*$G$7,2)</f>
        <v>110.6</v>
      </c>
      <c r="H105" s="210">
        <f>ROUND(SUM(E105*G105),2)</f>
        <v>442.4</v>
      </c>
    </row>
    <row r="106" spans="1:9" ht="14.25" customHeight="1" x14ac:dyDescent="0.25">
      <c r="A106" s="84"/>
      <c r="B106" s="85"/>
      <c r="C106" s="114"/>
      <c r="D106" s="87"/>
      <c r="E106" s="208"/>
      <c r="F106" s="209"/>
      <c r="G106" s="210"/>
      <c r="H106" s="210"/>
    </row>
    <row r="107" spans="1:9" ht="38.25" x14ac:dyDescent="0.25">
      <c r="A107" s="84" t="s">
        <v>441</v>
      </c>
      <c r="B107" s="85" t="s">
        <v>442</v>
      </c>
      <c r="C107" s="114" t="s">
        <v>443</v>
      </c>
      <c r="D107" s="87" t="s">
        <v>295</v>
      </c>
      <c r="E107" s="208">
        <f>'Memória sem piso'!F439</f>
        <v>8</v>
      </c>
      <c r="F107" s="209">
        <v>31.95</v>
      </c>
      <c r="G107" s="210">
        <f>TRUNC(F107*$G$7,2)</f>
        <v>39.93</v>
      </c>
      <c r="H107" s="210">
        <f>ROUND(SUM(E107*G107),2)</f>
        <v>319.44</v>
      </c>
    </row>
    <row r="108" spans="1:9" x14ac:dyDescent="0.25">
      <c r="A108" s="84"/>
      <c r="B108" s="85"/>
      <c r="C108" s="114"/>
      <c r="D108" s="87"/>
      <c r="E108" s="208"/>
      <c r="F108" s="209"/>
      <c r="G108" s="210"/>
      <c r="H108" s="210"/>
    </row>
    <row r="109" spans="1:9" ht="38.25" x14ac:dyDescent="0.25">
      <c r="A109" s="84" t="s">
        <v>444</v>
      </c>
      <c r="B109" s="85" t="s">
        <v>445</v>
      </c>
      <c r="C109" s="114" t="s">
        <v>446</v>
      </c>
      <c r="D109" s="87" t="s">
        <v>283</v>
      </c>
      <c r="E109" s="208">
        <f>'Memória sem piso'!F447</f>
        <v>2</v>
      </c>
      <c r="F109" s="209">
        <f>Composição!G8</f>
        <v>754.35</v>
      </c>
      <c r="G109" s="210">
        <f>TRUNC(F109*$G$7,2)</f>
        <v>942.93</v>
      </c>
      <c r="H109" s="210">
        <f>ROUND(SUM(E109*G109),2)</f>
        <v>1885.86</v>
      </c>
    </row>
    <row r="110" spans="1:9" ht="15.75" customHeight="1" x14ac:dyDescent="0.25">
      <c r="A110" s="110"/>
      <c r="B110" s="92"/>
      <c r="C110" s="122"/>
      <c r="D110" s="94"/>
      <c r="E110" s="211"/>
      <c r="F110" s="212"/>
      <c r="G110" s="213"/>
      <c r="H110" s="213"/>
    </row>
    <row r="111" spans="1:9" ht="15.75" customHeight="1" x14ac:dyDescent="0.25">
      <c r="A111" s="84"/>
      <c r="B111" s="95" t="s">
        <v>447</v>
      </c>
      <c r="C111" s="96" t="s">
        <v>448</v>
      </c>
      <c r="D111" s="123"/>
      <c r="E111" s="229"/>
      <c r="F111" s="230"/>
      <c r="G111" s="231"/>
      <c r="H111" s="227">
        <f>ROUND(SUM(H112:H118),2)</f>
        <v>103534.82</v>
      </c>
    </row>
    <row r="112" spans="1:9" ht="72" x14ac:dyDescent="0.25">
      <c r="A112" s="124" t="s">
        <v>449</v>
      </c>
      <c r="B112" s="85" t="s">
        <v>450</v>
      </c>
      <c r="C112" s="125" t="s">
        <v>451</v>
      </c>
      <c r="D112" s="87" t="s">
        <v>283</v>
      </c>
      <c r="E112" s="217">
        <v>571</v>
      </c>
      <c r="F112" s="209">
        <v>29.74</v>
      </c>
      <c r="G112" s="218">
        <f>TRUNC(F112*$G$7,2)</f>
        <v>37.17</v>
      </c>
      <c r="H112" s="209">
        <f>ROUND(SUM(E112*G112),2)</f>
        <v>21224.07</v>
      </c>
      <c r="I112" s="126"/>
    </row>
    <row r="113" spans="1:10" x14ac:dyDescent="0.25">
      <c r="A113" s="124"/>
      <c r="B113" s="85"/>
      <c r="C113" s="125"/>
      <c r="D113" s="87"/>
      <c r="E113" s="232"/>
      <c r="F113" s="209"/>
      <c r="G113" s="218"/>
      <c r="H113" s="209"/>
      <c r="I113" s="127"/>
    </row>
    <row r="114" spans="1:10" ht="42" customHeight="1" x14ac:dyDescent="0.25">
      <c r="A114" s="124" t="s">
        <v>452</v>
      </c>
      <c r="B114" s="85" t="s">
        <v>453</v>
      </c>
      <c r="C114" s="125" t="s">
        <v>454</v>
      </c>
      <c r="D114" s="87" t="s">
        <v>295</v>
      </c>
      <c r="E114" s="217">
        <v>13</v>
      </c>
      <c r="F114" s="209">
        <v>461.85</v>
      </c>
      <c r="G114" s="218">
        <f>TRUNC(F114*$G$7,2)</f>
        <v>577.30999999999995</v>
      </c>
      <c r="H114" s="209">
        <f>ROUND(SUM(E114*G114),2)</f>
        <v>7505.03</v>
      </c>
      <c r="I114" s="127"/>
    </row>
    <row r="115" spans="1:10" x14ac:dyDescent="0.25">
      <c r="A115" s="99"/>
      <c r="B115" s="85"/>
      <c r="C115" s="102"/>
      <c r="D115" s="87"/>
      <c r="E115" s="232"/>
      <c r="F115" s="209"/>
      <c r="G115" s="231"/>
      <c r="H115" s="209"/>
    </row>
    <row r="116" spans="1:10" ht="29.25" customHeight="1" x14ac:dyDescent="0.25">
      <c r="A116" s="124" t="s">
        <v>455</v>
      </c>
      <c r="B116" s="85" t="s">
        <v>456</v>
      </c>
      <c r="C116" s="125" t="s">
        <v>457</v>
      </c>
      <c r="D116" s="87" t="s">
        <v>283</v>
      </c>
      <c r="E116" s="208">
        <v>571</v>
      </c>
      <c r="F116" s="209">
        <v>40.299999999999997</v>
      </c>
      <c r="G116" s="231">
        <f>TRUNC(F116*$G$7,2)</f>
        <v>50.37</v>
      </c>
      <c r="H116" s="209">
        <f>ROUND(SUM(E116*G116),2)</f>
        <v>28761.27</v>
      </c>
    </row>
    <row r="117" spans="1:10" ht="15.75" customHeight="1" x14ac:dyDescent="0.25">
      <c r="A117" s="99"/>
      <c r="B117" s="85"/>
      <c r="C117" s="97"/>
      <c r="D117" s="87"/>
      <c r="E117" s="208"/>
      <c r="F117" s="209"/>
      <c r="G117" s="218"/>
      <c r="H117" s="209"/>
    </row>
    <row r="118" spans="1:10" ht="39" customHeight="1" x14ac:dyDescent="0.25">
      <c r="A118" s="128" t="s">
        <v>458</v>
      </c>
      <c r="B118" s="92" t="s">
        <v>459</v>
      </c>
      <c r="C118" s="93" t="s">
        <v>460</v>
      </c>
      <c r="D118" s="87" t="s">
        <v>283</v>
      </c>
      <c r="E118" s="211">
        <v>368.12</v>
      </c>
      <c r="F118" s="212">
        <v>100.07</v>
      </c>
      <c r="G118" s="233">
        <f>TRUNC(F118*$G$7,2)</f>
        <v>125.08</v>
      </c>
      <c r="H118" s="212">
        <f>ROUND(SUM(E118*G118),2)</f>
        <v>46044.45</v>
      </c>
      <c r="J118" s="129"/>
    </row>
    <row r="119" spans="1:10" ht="13.5" customHeight="1" x14ac:dyDescent="0.25">
      <c r="A119" s="99"/>
      <c r="B119" s="130"/>
      <c r="C119" s="103"/>
      <c r="D119" s="131"/>
      <c r="E119" s="232"/>
      <c r="F119" s="209"/>
      <c r="G119" s="210"/>
      <c r="H119" s="210"/>
    </row>
    <row r="120" spans="1:10" ht="15.75" customHeight="1" x14ac:dyDescent="0.25">
      <c r="A120" s="84"/>
      <c r="B120" s="95" t="s">
        <v>461</v>
      </c>
      <c r="C120" s="96" t="s">
        <v>462</v>
      </c>
      <c r="D120" s="87"/>
      <c r="E120" s="234"/>
      <c r="F120" s="214"/>
      <c r="G120" s="210"/>
      <c r="H120" s="215">
        <f>ROUND(SUM(H121:H128),2)</f>
        <v>3472.86</v>
      </c>
    </row>
    <row r="121" spans="1:10" ht="153" x14ac:dyDescent="0.25">
      <c r="A121" s="85" t="s">
        <v>463</v>
      </c>
      <c r="B121" s="85" t="s">
        <v>166</v>
      </c>
      <c r="C121" s="103" t="s">
        <v>464</v>
      </c>
      <c r="D121" s="87" t="s">
        <v>295</v>
      </c>
      <c r="E121" s="208">
        <f>'Memória sem piso'!F481</f>
        <v>1</v>
      </c>
      <c r="F121" s="209">
        <v>128.24</v>
      </c>
      <c r="G121" s="210">
        <f>TRUNC(F121*$G$7,2)</f>
        <v>160.30000000000001</v>
      </c>
      <c r="H121" s="209">
        <f>ROUND(SUM(E121*G121),2)</f>
        <v>160.30000000000001</v>
      </c>
    </row>
    <row r="122" spans="1:10" x14ac:dyDescent="0.25">
      <c r="A122" s="99"/>
      <c r="B122" s="85"/>
      <c r="C122" s="97"/>
      <c r="D122" s="87"/>
      <c r="E122" s="208"/>
      <c r="F122" s="209"/>
      <c r="G122" s="210"/>
      <c r="H122" s="209"/>
    </row>
    <row r="123" spans="1:10" ht="153" x14ac:dyDescent="0.25">
      <c r="A123" s="99" t="s">
        <v>465</v>
      </c>
      <c r="B123" s="85" t="s">
        <v>169</v>
      </c>
      <c r="C123" s="103" t="s">
        <v>466</v>
      </c>
      <c r="D123" s="87" t="s">
        <v>295</v>
      </c>
      <c r="E123" s="208">
        <f>'Memória sem piso'!F482</f>
        <v>3</v>
      </c>
      <c r="F123" s="209">
        <v>240</v>
      </c>
      <c r="G123" s="210">
        <f>TRUNC(F123*$G$7,2)</f>
        <v>300</v>
      </c>
      <c r="H123" s="209">
        <f>ROUND(SUM(E123*G123),2)</f>
        <v>900</v>
      </c>
    </row>
    <row r="124" spans="1:10" x14ac:dyDescent="0.25">
      <c r="A124" s="99"/>
      <c r="B124" s="85"/>
      <c r="C124" s="97"/>
      <c r="D124" s="87"/>
      <c r="E124" s="208"/>
      <c r="F124" s="209"/>
      <c r="G124" s="210"/>
      <c r="H124" s="209"/>
    </row>
    <row r="125" spans="1:10" ht="102" x14ac:dyDescent="0.25">
      <c r="A125" s="99" t="s">
        <v>467</v>
      </c>
      <c r="B125" s="85" t="s">
        <v>171</v>
      </c>
      <c r="C125" s="103" t="s">
        <v>468</v>
      </c>
      <c r="D125" s="87" t="s">
        <v>295</v>
      </c>
      <c r="E125" s="208">
        <f>E121</f>
        <v>1</v>
      </c>
      <c r="F125" s="209">
        <v>429.45</v>
      </c>
      <c r="G125" s="210">
        <f>TRUNC(F125*$G$7,2)</f>
        <v>536.80999999999995</v>
      </c>
      <c r="H125" s="209">
        <f>ROUND(SUM(E125*G125),2)</f>
        <v>536.80999999999995</v>
      </c>
    </row>
    <row r="126" spans="1:10" x14ac:dyDescent="0.25">
      <c r="A126" s="99"/>
      <c r="B126" s="85"/>
      <c r="C126" s="97"/>
      <c r="D126" s="87"/>
      <c r="E126" s="208"/>
      <c r="F126" s="209"/>
      <c r="G126" s="210"/>
      <c r="H126" s="209"/>
    </row>
    <row r="127" spans="1:10" ht="102" x14ac:dyDescent="0.25">
      <c r="A127" s="99" t="s">
        <v>469</v>
      </c>
      <c r="B127" s="85" t="s">
        <v>173</v>
      </c>
      <c r="C127" s="103" t="s">
        <v>470</v>
      </c>
      <c r="D127" s="87" t="s">
        <v>295</v>
      </c>
      <c r="E127" s="208">
        <f>E123</f>
        <v>3</v>
      </c>
      <c r="F127" s="209">
        <v>500.2</v>
      </c>
      <c r="G127" s="210">
        <f>TRUNC(F127*$G$7,2)</f>
        <v>625.25</v>
      </c>
      <c r="H127" s="209">
        <f>ROUND(SUM(E127*G127),2)</f>
        <v>1875.75</v>
      </c>
    </row>
    <row r="128" spans="1:10" x14ac:dyDescent="0.25">
      <c r="A128" s="128"/>
      <c r="B128" s="92"/>
      <c r="C128" s="122"/>
      <c r="D128" s="94"/>
      <c r="E128" s="211"/>
      <c r="F128" s="212"/>
      <c r="G128" s="213"/>
      <c r="H128" s="213"/>
    </row>
    <row r="129" spans="1:8" ht="15.75" customHeight="1" x14ac:dyDescent="0.25">
      <c r="A129" s="84"/>
      <c r="B129" s="95" t="s">
        <v>471</v>
      </c>
      <c r="C129" s="96" t="s">
        <v>472</v>
      </c>
      <c r="D129" s="87"/>
      <c r="E129" s="208"/>
      <c r="F129" s="214"/>
      <c r="G129" s="235"/>
      <c r="H129" s="215">
        <f>ROUND(SUM(H130:H164),2)</f>
        <v>22524.85</v>
      </c>
    </row>
    <row r="130" spans="1:8" ht="47.25" customHeight="1" x14ac:dyDescent="0.25">
      <c r="A130" s="84" t="s">
        <v>473</v>
      </c>
      <c r="B130" s="85" t="s">
        <v>474</v>
      </c>
      <c r="C130" s="86" t="s">
        <v>475</v>
      </c>
      <c r="D130" s="87" t="s">
        <v>295</v>
      </c>
      <c r="E130" s="208">
        <f>'Memória sem piso'!F489+'Memória sem piso'!F490</f>
        <v>9</v>
      </c>
      <c r="F130" s="209">
        <v>224.82</v>
      </c>
      <c r="G130" s="210">
        <f>TRUNC(F130*$G$7,2)</f>
        <v>281.02</v>
      </c>
      <c r="H130" s="209">
        <f>ROUND(SUM(E130*G130),2)</f>
        <v>2529.1799999999998</v>
      </c>
    </row>
    <row r="131" spans="1:8" ht="15.75" customHeight="1" x14ac:dyDescent="0.25">
      <c r="A131" s="84"/>
      <c r="B131" s="132"/>
      <c r="C131" s="133"/>
      <c r="D131" s="87"/>
      <c r="E131" s="208"/>
      <c r="F131" s="214"/>
      <c r="G131" s="210"/>
      <c r="H131" s="209"/>
    </row>
    <row r="132" spans="1:8" ht="28.5" customHeight="1" x14ac:dyDescent="0.25">
      <c r="A132" s="84" t="s">
        <v>476</v>
      </c>
      <c r="B132" s="85" t="s">
        <v>477</v>
      </c>
      <c r="C132" s="86" t="s">
        <v>478</v>
      </c>
      <c r="D132" s="87" t="s">
        <v>295</v>
      </c>
      <c r="E132" s="208">
        <f>'Memória sem piso'!F491</f>
        <v>2</v>
      </c>
      <c r="F132" s="209">
        <v>377.87</v>
      </c>
      <c r="G132" s="210">
        <f>TRUNC(F132*$G$7,2)</f>
        <v>472.33</v>
      </c>
      <c r="H132" s="209">
        <f>ROUND(SUM(E132*G132),2)</f>
        <v>944.66</v>
      </c>
    </row>
    <row r="133" spans="1:8" ht="15.75" customHeight="1" x14ac:dyDescent="0.25">
      <c r="A133" s="84"/>
      <c r="B133" s="85"/>
      <c r="C133" s="133"/>
      <c r="D133" s="87"/>
      <c r="E133" s="208"/>
      <c r="F133" s="214"/>
      <c r="G133" s="210"/>
      <c r="H133" s="209"/>
    </row>
    <row r="134" spans="1:8" ht="54" customHeight="1" x14ac:dyDescent="0.25">
      <c r="A134" s="84" t="s">
        <v>479</v>
      </c>
      <c r="B134" s="85" t="s">
        <v>480</v>
      </c>
      <c r="C134" s="86" t="s">
        <v>481</v>
      </c>
      <c r="D134" s="87" t="s">
        <v>295</v>
      </c>
      <c r="E134" s="208">
        <f>'Memória sem piso'!F492</f>
        <v>11</v>
      </c>
      <c r="F134" s="209">
        <v>260.11</v>
      </c>
      <c r="G134" s="210">
        <f>TRUNC(F134*$G$7,2)</f>
        <v>325.13</v>
      </c>
      <c r="H134" s="209">
        <f>ROUND(SUM(E134*G134),2)</f>
        <v>3576.43</v>
      </c>
    </row>
    <row r="135" spans="1:8" ht="15.75" customHeight="1" x14ac:dyDescent="0.25">
      <c r="A135" s="84"/>
      <c r="B135" s="132"/>
      <c r="C135" s="133"/>
      <c r="D135" s="87"/>
      <c r="E135" s="208"/>
      <c r="F135" s="214"/>
      <c r="G135" s="210"/>
      <c r="H135" s="209"/>
    </row>
    <row r="136" spans="1:8" ht="44.25" customHeight="1" x14ac:dyDescent="0.25">
      <c r="A136" s="84" t="s">
        <v>482</v>
      </c>
      <c r="B136" s="85" t="s">
        <v>483</v>
      </c>
      <c r="C136" s="86" t="s">
        <v>484</v>
      </c>
      <c r="D136" s="87" t="s">
        <v>295</v>
      </c>
      <c r="E136" s="208">
        <f>'Memória sem piso'!F493</f>
        <v>6</v>
      </c>
      <c r="F136" s="209">
        <v>234.68</v>
      </c>
      <c r="G136" s="210">
        <f>TRUNC(F136*$G$7,2)</f>
        <v>293.35000000000002</v>
      </c>
      <c r="H136" s="209">
        <f>ROUND(SUM(E136*G136),2)</f>
        <v>1760.1</v>
      </c>
    </row>
    <row r="137" spans="1:8" ht="16.5" customHeight="1" x14ac:dyDescent="0.25">
      <c r="A137" s="84"/>
      <c r="B137" s="85"/>
      <c r="C137" s="86"/>
      <c r="D137" s="87"/>
      <c r="E137" s="208"/>
      <c r="F137" s="209"/>
      <c r="G137" s="210"/>
      <c r="H137" s="209"/>
    </row>
    <row r="138" spans="1:8" ht="52.5" customHeight="1" x14ac:dyDescent="0.25">
      <c r="A138" s="84" t="s">
        <v>485</v>
      </c>
      <c r="B138" s="85" t="s">
        <v>486</v>
      </c>
      <c r="C138" s="86" t="s">
        <v>487</v>
      </c>
      <c r="D138" s="87" t="s">
        <v>295</v>
      </c>
      <c r="E138" s="208">
        <f>'Memória sem piso'!F494</f>
        <v>1</v>
      </c>
      <c r="F138" s="209">
        <v>437.53</v>
      </c>
      <c r="G138" s="210">
        <f>TRUNC(F138*$G$7,2)</f>
        <v>546.91</v>
      </c>
      <c r="H138" s="209">
        <f>ROUND(SUM(E138*G138),2)</f>
        <v>546.91</v>
      </c>
    </row>
    <row r="139" spans="1:8" ht="15" customHeight="1" x14ac:dyDescent="0.25">
      <c r="A139" s="84"/>
      <c r="B139" s="85"/>
      <c r="C139" s="86"/>
      <c r="D139" s="87"/>
      <c r="E139" s="208"/>
      <c r="F139" s="209"/>
      <c r="G139" s="210"/>
      <c r="H139" s="209"/>
    </row>
    <row r="140" spans="1:8" ht="38.25" customHeight="1" x14ac:dyDescent="0.25">
      <c r="A140" s="84" t="s">
        <v>488</v>
      </c>
      <c r="B140" s="85" t="s">
        <v>489</v>
      </c>
      <c r="C140" s="86" t="s">
        <v>490</v>
      </c>
      <c r="D140" s="87" t="s">
        <v>295</v>
      </c>
      <c r="E140" s="208">
        <f>'Memória sem piso'!F495</f>
        <v>1</v>
      </c>
      <c r="F140" s="209">
        <v>149.63</v>
      </c>
      <c r="G140" s="210">
        <f>TRUNC(F140*$G$7,2)</f>
        <v>187.03</v>
      </c>
      <c r="H140" s="209">
        <f>ROUND(SUM(E140*G140),2)</f>
        <v>187.03</v>
      </c>
    </row>
    <row r="141" spans="1:8" ht="16.5" customHeight="1" x14ac:dyDescent="0.25">
      <c r="A141" s="84"/>
      <c r="B141" s="85"/>
      <c r="C141" s="86"/>
      <c r="D141" s="87"/>
      <c r="E141" s="208"/>
      <c r="F141" s="209"/>
      <c r="G141" s="210"/>
      <c r="H141" s="209"/>
    </row>
    <row r="142" spans="1:8" ht="19.5" customHeight="1" x14ac:dyDescent="0.25">
      <c r="A142" s="84" t="s">
        <v>491</v>
      </c>
      <c r="B142" s="85" t="s">
        <v>492</v>
      </c>
      <c r="C142" s="86" t="s">
        <v>493</v>
      </c>
      <c r="D142" s="87" t="s">
        <v>295</v>
      </c>
      <c r="E142" s="208">
        <f>'Memória sem piso'!F496</f>
        <v>6</v>
      </c>
      <c r="F142" s="209">
        <v>373.76</v>
      </c>
      <c r="G142" s="210">
        <f>TRUNC(F142*$G$7,2)</f>
        <v>467.2</v>
      </c>
      <c r="H142" s="209">
        <f>ROUND(SUM(E142*G142),2)</f>
        <v>2803.2</v>
      </c>
    </row>
    <row r="143" spans="1:8" ht="13.5" customHeight="1" x14ac:dyDescent="0.25">
      <c r="A143" s="84"/>
      <c r="B143" s="85"/>
      <c r="C143" s="86"/>
      <c r="D143" s="87"/>
      <c r="E143" s="208"/>
      <c r="F143" s="209"/>
      <c r="G143" s="210"/>
      <c r="H143" s="209"/>
    </row>
    <row r="144" spans="1:8" ht="28.5" customHeight="1" x14ac:dyDescent="0.25">
      <c r="A144" s="84" t="s">
        <v>494</v>
      </c>
      <c r="B144" s="85" t="s">
        <v>495</v>
      </c>
      <c r="C144" s="114" t="s">
        <v>496</v>
      </c>
      <c r="D144" s="87" t="s">
        <v>295</v>
      </c>
      <c r="E144" s="208">
        <f>'Memória sem piso'!F497</f>
        <v>4</v>
      </c>
      <c r="F144" s="209">
        <v>27.41</v>
      </c>
      <c r="G144" s="210">
        <f>TRUNC(F144*$G$7,2)</f>
        <v>34.26</v>
      </c>
      <c r="H144" s="209">
        <f>ROUND(SUM(E144*G144),2)</f>
        <v>137.04</v>
      </c>
    </row>
    <row r="145" spans="1:13" ht="14.25" customHeight="1" x14ac:dyDescent="0.25">
      <c r="A145" s="84"/>
      <c r="B145" s="85"/>
      <c r="C145" s="115"/>
      <c r="D145" s="87"/>
      <c r="E145" s="208"/>
      <c r="F145" s="209"/>
      <c r="G145" s="210"/>
      <c r="H145" s="209"/>
    </row>
    <row r="146" spans="1:13" ht="51" x14ac:dyDescent="0.25">
      <c r="A146" s="84" t="s">
        <v>497</v>
      </c>
      <c r="B146" s="85" t="s">
        <v>498</v>
      </c>
      <c r="C146" s="86" t="s">
        <v>499</v>
      </c>
      <c r="D146" s="87" t="s">
        <v>295</v>
      </c>
      <c r="E146" s="208">
        <f>E144</f>
        <v>4</v>
      </c>
      <c r="F146" s="209">
        <v>19.420000000000002</v>
      </c>
      <c r="G146" s="210">
        <f>TRUNC(F146*$G$7,2)</f>
        <v>24.27</v>
      </c>
      <c r="H146" s="209">
        <f>ROUND(SUM(E146*G146),2)</f>
        <v>97.08</v>
      </c>
    </row>
    <row r="147" spans="1:13" ht="15" customHeight="1" x14ac:dyDescent="0.25">
      <c r="A147" s="84"/>
      <c r="B147" s="85"/>
      <c r="C147" s="97"/>
      <c r="D147" s="87"/>
      <c r="E147" s="208"/>
      <c r="F147" s="209"/>
      <c r="G147" s="210"/>
      <c r="H147" s="209"/>
    </row>
    <row r="148" spans="1:13" ht="17.25" customHeight="1" x14ac:dyDescent="0.25">
      <c r="A148" s="84" t="s">
        <v>500</v>
      </c>
      <c r="B148" s="99" t="s">
        <v>501</v>
      </c>
      <c r="C148" s="108" t="s">
        <v>502</v>
      </c>
      <c r="D148" s="134" t="s">
        <v>295</v>
      </c>
      <c r="E148" s="208">
        <f>'Memória sem piso'!F499</f>
        <v>11</v>
      </c>
      <c r="F148" s="209">
        <v>28.84</v>
      </c>
      <c r="G148" s="210">
        <f>TRUNC(F148*$G$7,2)</f>
        <v>36.049999999999997</v>
      </c>
      <c r="H148" s="209">
        <f>ROUND(SUM(E148*G148),2)</f>
        <v>396.55</v>
      </c>
    </row>
    <row r="149" spans="1:13" ht="12.75" customHeight="1" x14ac:dyDescent="0.25">
      <c r="A149" s="84"/>
      <c r="B149" s="99"/>
      <c r="C149" s="135"/>
      <c r="D149" s="134"/>
      <c r="E149" s="208"/>
      <c r="F149" s="209"/>
      <c r="G149" s="210"/>
      <c r="H149" s="209"/>
    </row>
    <row r="150" spans="1:13" ht="18" customHeight="1" x14ac:dyDescent="0.25">
      <c r="A150" s="84" t="s">
        <v>503</v>
      </c>
      <c r="B150" s="99" t="s">
        <v>504</v>
      </c>
      <c r="C150" s="108" t="s">
        <v>505</v>
      </c>
      <c r="D150" s="134" t="s">
        <v>295</v>
      </c>
      <c r="E150" s="208">
        <f>'Memória sem piso'!F500</f>
        <v>7</v>
      </c>
      <c r="F150" s="209">
        <v>39.71</v>
      </c>
      <c r="G150" s="210">
        <f>TRUNC(F150*$G$7,2)</f>
        <v>49.63</v>
      </c>
      <c r="H150" s="209">
        <f>ROUND(SUM(E150*G150),2)</f>
        <v>347.41</v>
      </c>
    </row>
    <row r="151" spans="1:13" ht="16.5" customHeight="1" x14ac:dyDescent="0.25">
      <c r="A151" s="84"/>
      <c r="B151" s="99"/>
      <c r="C151" s="135"/>
      <c r="D151" s="134"/>
      <c r="E151" s="208"/>
      <c r="F151" s="209"/>
      <c r="G151" s="210"/>
      <c r="H151" s="209"/>
    </row>
    <row r="152" spans="1:13" ht="28.5" customHeight="1" x14ac:dyDescent="0.25">
      <c r="A152" s="84" t="s">
        <v>506</v>
      </c>
      <c r="B152" s="99" t="s">
        <v>507</v>
      </c>
      <c r="C152" s="136" t="s">
        <v>508</v>
      </c>
      <c r="D152" s="87" t="s">
        <v>295</v>
      </c>
      <c r="E152" s="208">
        <f>'Memória sem piso'!F501</f>
        <v>10</v>
      </c>
      <c r="F152" s="209">
        <v>46.64</v>
      </c>
      <c r="G152" s="210">
        <f>TRUNC(F152*$G$7,2)</f>
        <v>58.3</v>
      </c>
      <c r="H152" s="209">
        <f>ROUND(SUM(E152*G152),2)</f>
        <v>583</v>
      </c>
      <c r="M152" s="137">
        <f>I152*K152</f>
        <v>0</v>
      </c>
    </row>
    <row r="153" spans="1:13" ht="15" customHeight="1" x14ac:dyDescent="0.25">
      <c r="A153" s="84"/>
      <c r="B153" s="99"/>
      <c r="C153" s="136"/>
      <c r="D153" s="87"/>
      <c r="E153" s="208"/>
      <c r="F153" s="209"/>
      <c r="G153" s="210"/>
      <c r="H153" s="209"/>
    </row>
    <row r="154" spans="1:13" ht="42.75" customHeight="1" x14ac:dyDescent="0.25">
      <c r="A154" s="84" t="s">
        <v>509</v>
      </c>
      <c r="B154" s="99" t="s">
        <v>510</v>
      </c>
      <c r="C154" s="136" t="s">
        <v>511</v>
      </c>
      <c r="D154" s="87" t="s">
        <v>295</v>
      </c>
      <c r="E154" s="208">
        <f>'Memória sem piso'!F502</f>
        <v>5</v>
      </c>
      <c r="F154" s="209">
        <v>200.15</v>
      </c>
      <c r="G154" s="210">
        <f>TRUNC(F154*$G$7,2)</f>
        <v>250.18</v>
      </c>
      <c r="H154" s="209">
        <f>ROUND(SUM(E154*G154),2)</f>
        <v>1250.9000000000001</v>
      </c>
    </row>
    <row r="155" spans="1:13" ht="15" customHeight="1" x14ac:dyDescent="0.25">
      <c r="A155" s="84"/>
      <c r="B155" s="99"/>
      <c r="C155" s="136"/>
      <c r="D155" s="87"/>
      <c r="E155" s="208"/>
      <c r="F155" s="209"/>
      <c r="G155" s="210"/>
      <c r="H155" s="209"/>
    </row>
    <row r="156" spans="1:13" ht="43.5" customHeight="1" x14ac:dyDescent="0.25">
      <c r="A156" s="84" t="s">
        <v>512</v>
      </c>
      <c r="B156" s="99" t="s">
        <v>513</v>
      </c>
      <c r="C156" s="136" t="s">
        <v>514</v>
      </c>
      <c r="D156" s="87" t="s">
        <v>295</v>
      </c>
      <c r="E156" s="208">
        <f>'Memória sem piso'!F503</f>
        <v>5</v>
      </c>
      <c r="F156" s="209">
        <v>147.31</v>
      </c>
      <c r="G156" s="210">
        <f>TRUNC(F156*$G$7,2)</f>
        <v>184.13</v>
      </c>
      <c r="H156" s="209">
        <f>ROUND(SUM(E156*G156),2)</f>
        <v>920.65</v>
      </c>
    </row>
    <row r="157" spans="1:13" x14ac:dyDescent="0.25">
      <c r="A157" s="84"/>
      <c r="B157" s="99"/>
      <c r="C157" s="136"/>
      <c r="D157" s="87"/>
      <c r="E157" s="208"/>
      <c r="F157" s="209"/>
      <c r="G157" s="210"/>
      <c r="H157" s="209"/>
    </row>
    <row r="158" spans="1:13" ht="114.75" x14ac:dyDescent="0.25">
      <c r="A158" s="84" t="s">
        <v>515</v>
      </c>
      <c r="B158" s="99" t="s">
        <v>516</v>
      </c>
      <c r="C158" s="136" t="s">
        <v>517</v>
      </c>
      <c r="D158" s="87" t="s">
        <v>295</v>
      </c>
      <c r="E158" s="208">
        <f>'Memória sem piso'!F504</f>
        <v>4</v>
      </c>
      <c r="F158" s="209">
        <v>246.23</v>
      </c>
      <c r="G158" s="210">
        <f>TRUNC(F158*$G$7,2)</f>
        <v>307.77999999999997</v>
      </c>
      <c r="H158" s="209">
        <f>ROUND(SUM(E158*G158),2)</f>
        <v>1231.1199999999999</v>
      </c>
    </row>
    <row r="159" spans="1:13" x14ac:dyDescent="0.25">
      <c r="A159" s="84"/>
      <c r="B159" s="99"/>
      <c r="C159" s="136"/>
      <c r="D159" s="87"/>
      <c r="E159" s="208"/>
      <c r="F159" s="209"/>
      <c r="G159" s="210"/>
      <c r="H159" s="209"/>
    </row>
    <row r="160" spans="1:13" ht="15.75" customHeight="1" x14ac:dyDescent="0.25">
      <c r="A160" s="84" t="s">
        <v>518</v>
      </c>
      <c r="B160" s="99" t="s">
        <v>519</v>
      </c>
      <c r="C160" s="108" t="s">
        <v>520</v>
      </c>
      <c r="D160" s="87" t="s">
        <v>283</v>
      </c>
      <c r="E160" s="208">
        <v>8.2499099999999999</v>
      </c>
      <c r="F160" s="209">
        <v>243.1</v>
      </c>
      <c r="G160" s="210">
        <f>TRUNC(F160*$G$7,2)</f>
        <v>303.87</v>
      </c>
      <c r="H160" s="209">
        <f>ROUND(SUM(E160*G160),2)</f>
        <v>2506.9</v>
      </c>
    </row>
    <row r="161" spans="1:8" ht="15.75" customHeight="1" x14ac:dyDescent="0.25">
      <c r="A161" s="84"/>
      <c r="B161" s="99"/>
      <c r="C161" s="108"/>
      <c r="D161" s="87"/>
      <c r="E161" s="208"/>
      <c r="F161" s="209"/>
      <c r="G161" s="210"/>
      <c r="H161" s="209"/>
    </row>
    <row r="162" spans="1:8" ht="41.25" customHeight="1" x14ac:dyDescent="0.25">
      <c r="A162" s="84" t="s">
        <v>521</v>
      </c>
      <c r="B162" s="85" t="s">
        <v>522</v>
      </c>
      <c r="C162" s="86" t="s">
        <v>523</v>
      </c>
      <c r="D162" s="87" t="s">
        <v>283</v>
      </c>
      <c r="E162" s="208">
        <v>3.6</v>
      </c>
      <c r="F162" s="209">
        <v>453.78</v>
      </c>
      <c r="G162" s="210">
        <f>TRUNC(F162*$G$7,2)</f>
        <v>567.22</v>
      </c>
      <c r="H162" s="209">
        <f>ROUND(SUM(E162*G162),2)</f>
        <v>2041.99</v>
      </c>
    </row>
    <row r="163" spans="1:8" ht="15" customHeight="1" x14ac:dyDescent="0.25">
      <c r="A163" s="84"/>
      <c r="B163" s="99"/>
      <c r="C163" s="138"/>
      <c r="D163" s="87"/>
      <c r="E163" s="234"/>
      <c r="F163" s="214"/>
      <c r="G163" s="210"/>
      <c r="H163" s="209"/>
    </row>
    <row r="164" spans="1:8" ht="63.75" x14ac:dyDescent="0.25">
      <c r="A164" s="110" t="s">
        <v>524</v>
      </c>
      <c r="B164" s="92" t="s">
        <v>525</v>
      </c>
      <c r="C164" s="93" t="s">
        <v>526</v>
      </c>
      <c r="D164" s="94" t="s">
        <v>344</v>
      </c>
      <c r="E164" s="211">
        <v>14.4</v>
      </c>
      <c r="F164" s="212">
        <v>36.93</v>
      </c>
      <c r="G164" s="213">
        <f>TRUNC(F164*$G$7,2)</f>
        <v>46.16</v>
      </c>
      <c r="H164" s="212">
        <f>ROUND(SUM(E164*G164),2)</f>
        <v>664.7</v>
      </c>
    </row>
    <row r="165" spans="1:8" ht="15.75" customHeight="1" x14ac:dyDescent="0.25">
      <c r="A165" s="84"/>
      <c r="B165" s="95" t="s">
        <v>527</v>
      </c>
      <c r="C165" s="96" t="s">
        <v>528</v>
      </c>
      <c r="D165" s="123"/>
      <c r="E165" s="229"/>
      <c r="F165" s="230"/>
      <c r="G165" s="215"/>
      <c r="H165" s="215">
        <f>ROUND(SUM(H166:H177),2)</f>
        <v>31900.79</v>
      </c>
    </row>
    <row r="166" spans="1:8" ht="30" customHeight="1" x14ac:dyDescent="0.25">
      <c r="A166" s="84" t="s">
        <v>529</v>
      </c>
      <c r="B166" s="85" t="s">
        <v>530</v>
      </c>
      <c r="C166" s="86" t="s">
        <v>531</v>
      </c>
      <c r="D166" s="87" t="s">
        <v>283</v>
      </c>
      <c r="E166" s="208">
        <v>79.88</v>
      </c>
      <c r="F166" s="209">
        <v>20.29</v>
      </c>
      <c r="G166" s="210">
        <f>TRUNC(F166*$G$7,2)</f>
        <v>25.36</v>
      </c>
      <c r="H166" s="209">
        <f>ROUND(SUM(E166*G166),2)</f>
        <v>2025.76</v>
      </c>
    </row>
    <row r="167" spans="1:8" ht="15.75" customHeight="1" x14ac:dyDescent="0.25">
      <c r="A167" s="84"/>
      <c r="B167" s="85"/>
      <c r="C167" s="97"/>
      <c r="D167" s="87"/>
      <c r="E167" s="208"/>
      <c r="F167" s="209"/>
      <c r="G167" s="210"/>
      <c r="H167" s="209"/>
    </row>
    <row r="168" spans="1:8" ht="54" customHeight="1" x14ac:dyDescent="0.25">
      <c r="A168" s="84" t="s">
        <v>532</v>
      </c>
      <c r="B168" s="85" t="s">
        <v>533</v>
      </c>
      <c r="C168" s="86" t="s">
        <v>534</v>
      </c>
      <c r="D168" s="87" t="s">
        <v>283</v>
      </c>
      <c r="E168" s="208">
        <v>399.29</v>
      </c>
      <c r="F168" s="209">
        <v>22.77</v>
      </c>
      <c r="G168" s="210">
        <f>TRUNC(F168*$G$7,2)</f>
        <v>28.46</v>
      </c>
      <c r="H168" s="209">
        <f>ROUND(SUM(E168*G168),2)</f>
        <v>11363.79</v>
      </c>
    </row>
    <row r="169" spans="1:8" ht="15.75" customHeight="1" x14ac:dyDescent="0.25">
      <c r="A169" s="84"/>
      <c r="B169" s="85"/>
      <c r="C169" s="97"/>
      <c r="D169" s="87"/>
      <c r="E169" s="208"/>
      <c r="F169" s="209"/>
      <c r="G169" s="210"/>
      <c r="H169" s="209"/>
    </row>
    <row r="170" spans="1:8" ht="27" customHeight="1" x14ac:dyDescent="0.25">
      <c r="A170" s="84" t="s">
        <v>535</v>
      </c>
      <c r="B170" s="85" t="s">
        <v>536</v>
      </c>
      <c r="C170" s="86" t="s">
        <v>537</v>
      </c>
      <c r="D170" s="87" t="s">
        <v>283</v>
      </c>
      <c r="E170" s="208">
        <v>647.15</v>
      </c>
      <c r="F170" s="209">
        <v>15.24</v>
      </c>
      <c r="G170" s="210">
        <f>TRUNC(F170*$G$7,2)</f>
        <v>19.05</v>
      </c>
      <c r="H170" s="209">
        <f>ROUND(SUM(E170*G170),2)</f>
        <v>12328.21</v>
      </c>
    </row>
    <row r="171" spans="1:8" ht="15.75" customHeight="1" x14ac:dyDescent="0.25">
      <c r="A171" s="84"/>
      <c r="B171" s="85"/>
      <c r="C171" s="97"/>
      <c r="D171" s="87"/>
      <c r="E171" s="208"/>
      <c r="F171" s="209"/>
      <c r="G171" s="210"/>
      <c r="H171" s="209"/>
    </row>
    <row r="172" spans="1:8" ht="53.25" customHeight="1" x14ac:dyDescent="0.25">
      <c r="A172" s="139" t="s">
        <v>538</v>
      </c>
      <c r="B172" s="140" t="s">
        <v>539</v>
      </c>
      <c r="C172" s="141" t="s">
        <v>540</v>
      </c>
      <c r="D172" s="142" t="s">
        <v>283</v>
      </c>
      <c r="E172" s="216">
        <v>44.1</v>
      </c>
      <c r="F172" s="224">
        <v>23.26</v>
      </c>
      <c r="G172" s="225">
        <f>TRUNC(F172*$G$7,2)</f>
        <v>29.07</v>
      </c>
      <c r="H172" s="209">
        <f>ROUND(SUM(E172*G172),2)</f>
        <v>1281.99</v>
      </c>
    </row>
    <row r="173" spans="1:8" ht="14.25" customHeight="1" x14ac:dyDescent="0.25">
      <c r="A173" s="84"/>
      <c r="B173" s="85"/>
      <c r="C173" s="86"/>
      <c r="D173" s="87"/>
      <c r="E173" s="208"/>
      <c r="F173" s="209"/>
      <c r="G173" s="210"/>
      <c r="H173" s="209"/>
    </row>
    <row r="174" spans="1:8" ht="26.25" customHeight="1" x14ac:dyDescent="0.25">
      <c r="A174" s="84" t="s">
        <v>541</v>
      </c>
      <c r="B174" s="140" t="s">
        <v>542</v>
      </c>
      <c r="C174" s="86" t="s">
        <v>543</v>
      </c>
      <c r="D174" s="87" t="s">
        <v>283</v>
      </c>
      <c r="E174" s="208">
        <v>290.5</v>
      </c>
      <c r="F174" s="209">
        <v>13.26</v>
      </c>
      <c r="G174" s="210">
        <f>TRUNC(F174*$G$7,2)</f>
        <v>16.57</v>
      </c>
      <c r="H174" s="209">
        <f>ROUND(SUM(E174*G174),2)</f>
        <v>4813.59</v>
      </c>
    </row>
    <row r="175" spans="1:8" ht="14.25" customHeight="1" x14ac:dyDescent="0.25">
      <c r="A175" s="84"/>
      <c r="B175" s="85"/>
      <c r="C175" s="86"/>
      <c r="D175" s="87"/>
      <c r="E175" s="208"/>
      <c r="F175" s="209"/>
      <c r="G175" s="210"/>
      <c r="H175" s="209"/>
    </row>
    <row r="176" spans="1:8" ht="47.25" customHeight="1" x14ac:dyDescent="0.25">
      <c r="A176" s="84" t="s">
        <v>544</v>
      </c>
      <c r="B176" s="85" t="s">
        <v>545</v>
      </c>
      <c r="C176" s="86" t="s">
        <v>546</v>
      </c>
      <c r="D176" s="87" t="s">
        <v>283</v>
      </c>
      <c r="E176" s="208">
        <v>4.41</v>
      </c>
      <c r="F176" s="209">
        <v>15.87</v>
      </c>
      <c r="G176" s="210">
        <f>TRUNC(F176*$G$7,2)</f>
        <v>19.829999999999998</v>
      </c>
      <c r="H176" s="209">
        <f>ROUND(SUM(E176*G176),2)</f>
        <v>87.45</v>
      </c>
    </row>
    <row r="177" spans="1:10" ht="15.75" customHeight="1" x14ac:dyDescent="0.25">
      <c r="A177" s="110"/>
      <c r="B177" s="92"/>
      <c r="C177" s="122"/>
      <c r="D177" s="94"/>
      <c r="E177" s="211"/>
      <c r="F177" s="212"/>
      <c r="G177" s="213"/>
      <c r="H177" s="213"/>
    </row>
    <row r="178" spans="1:10" ht="15.75" customHeight="1" x14ac:dyDescent="0.25">
      <c r="A178" s="84"/>
      <c r="B178" s="95" t="s">
        <v>547</v>
      </c>
      <c r="C178" s="96" t="s">
        <v>548</v>
      </c>
      <c r="D178" s="123"/>
      <c r="E178" s="229"/>
      <c r="F178" s="230"/>
      <c r="G178" s="215"/>
      <c r="H178" s="215">
        <f>ROUND(SUM(H179:H193),2)</f>
        <v>23546.99</v>
      </c>
    </row>
    <row r="179" spans="1:10" ht="38.25" x14ac:dyDescent="0.25">
      <c r="A179" s="84" t="s">
        <v>549</v>
      </c>
      <c r="B179" s="85" t="s">
        <v>550</v>
      </c>
      <c r="C179" s="86" t="s">
        <v>551</v>
      </c>
      <c r="D179" s="87" t="s">
        <v>295</v>
      </c>
      <c r="E179" s="208">
        <v>39</v>
      </c>
      <c r="F179" s="209">
        <v>1.47</v>
      </c>
      <c r="G179" s="210">
        <f>TRUNC(F179*$G$7,2)</f>
        <v>1.83</v>
      </c>
      <c r="H179" s="209">
        <f>ROUND(SUM(E179*G179),2)</f>
        <v>71.37</v>
      </c>
    </row>
    <row r="180" spans="1:10" x14ac:dyDescent="0.25">
      <c r="A180" s="84"/>
      <c r="B180" s="85"/>
      <c r="C180" s="86"/>
      <c r="D180" s="87"/>
      <c r="E180" s="208"/>
      <c r="F180" s="209"/>
      <c r="G180" s="210"/>
      <c r="H180" s="209"/>
    </row>
    <row r="181" spans="1:10" ht="76.5" x14ac:dyDescent="0.25">
      <c r="A181" s="84" t="s">
        <v>552</v>
      </c>
      <c r="B181" s="85" t="s">
        <v>553</v>
      </c>
      <c r="C181" s="86" t="s">
        <v>554</v>
      </c>
      <c r="D181" s="87" t="s">
        <v>295</v>
      </c>
      <c r="E181" s="208">
        <v>1</v>
      </c>
      <c r="F181" s="209">
        <v>346.2</v>
      </c>
      <c r="G181" s="210">
        <f>TRUNC(F181*$G$7,2)</f>
        <v>432.75</v>
      </c>
      <c r="H181" s="209">
        <f>ROUND(SUM(E181*G181),2)</f>
        <v>432.75</v>
      </c>
    </row>
    <row r="182" spans="1:10" x14ac:dyDescent="0.25">
      <c r="A182" s="84"/>
      <c r="B182" s="85"/>
      <c r="C182" s="86"/>
      <c r="D182" s="87"/>
      <c r="E182" s="208"/>
      <c r="F182" s="209"/>
      <c r="G182" s="210"/>
      <c r="H182" s="209"/>
    </row>
    <row r="183" spans="1:10" ht="76.5" x14ac:dyDescent="0.25">
      <c r="A183" s="84" t="s">
        <v>555</v>
      </c>
      <c r="B183" s="85" t="s">
        <v>556</v>
      </c>
      <c r="C183" s="86" t="s">
        <v>557</v>
      </c>
      <c r="D183" s="87" t="s">
        <v>283</v>
      </c>
      <c r="E183" s="216">
        <v>512.1</v>
      </c>
      <c r="F183" s="209">
        <v>28.13</v>
      </c>
      <c r="G183" s="210">
        <f>TRUNC(F183*$G$7,2)</f>
        <v>35.159999999999997</v>
      </c>
      <c r="H183" s="209">
        <f>ROUND(SUM(E183*G183),2)</f>
        <v>18005.439999999999</v>
      </c>
      <c r="J183" s="129"/>
    </row>
    <row r="184" spans="1:10" x14ac:dyDescent="0.25">
      <c r="A184" s="84"/>
      <c r="B184" s="85"/>
      <c r="C184" s="86"/>
      <c r="D184" s="87"/>
      <c r="E184" s="208"/>
      <c r="F184" s="209"/>
      <c r="G184" s="210"/>
      <c r="H184" s="209"/>
    </row>
    <row r="185" spans="1:10" ht="27" customHeight="1" x14ac:dyDescent="0.25">
      <c r="A185" s="84" t="s">
        <v>558</v>
      </c>
      <c r="B185" s="85" t="s">
        <v>559</v>
      </c>
      <c r="C185" s="86" t="s">
        <v>560</v>
      </c>
      <c r="D185" s="87" t="s">
        <v>295</v>
      </c>
      <c r="E185" s="208">
        <v>4</v>
      </c>
      <c r="F185" s="209">
        <v>68.38</v>
      </c>
      <c r="G185" s="210">
        <f>TRUNC(F185*$G$7,2)</f>
        <v>85.47</v>
      </c>
      <c r="H185" s="209">
        <f>ROUND(SUM(E185*G185),2)</f>
        <v>341.88</v>
      </c>
    </row>
    <row r="186" spans="1:10" ht="15.75" customHeight="1" x14ac:dyDescent="0.25">
      <c r="A186" s="84"/>
      <c r="B186" s="85"/>
      <c r="C186" s="86"/>
      <c r="D186" s="87"/>
      <c r="E186" s="208"/>
      <c r="F186" s="209"/>
      <c r="G186" s="210"/>
      <c r="H186" s="209"/>
    </row>
    <row r="187" spans="1:10" ht="24.75" customHeight="1" x14ac:dyDescent="0.25">
      <c r="A187" s="84" t="s">
        <v>561</v>
      </c>
      <c r="B187" s="85" t="s">
        <v>562</v>
      </c>
      <c r="C187" s="86" t="s">
        <v>563</v>
      </c>
      <c r="D187" s="87" t="s">
        <v>295</v>
      </c>
      <c r="E187" s="208">
        <v>2</v>
      </c>
      <c r="F187" s="209">
        <v>95.68</v>
      </c>
      <c r="G187" s="210">
        <f>TRUNC(F187*$G$7,2)</f>
        <v>119.6</v>
      </c>
      <c r="H187" s="209">
        <f>ROUND(SUM(E187*G187),2)</f>
        <v>239.2</v>
      </c>
    </row>
    <row r="188" spans="1:10" ht="15.75" customHeight="1" x14ac:dyDescent="0.25">
      <c r="A188" s="84"/>
      <c r="B188" s="85"/>
      <c r="C188" s="86"/>
      <c r="D188" s="87"/>
      <c r="E188" s="208"/>
      <c r="F188" s="209"/>
      <c r="G188" s="210"/>
      <c r="H188" s="209"/>
    </row>
    <row r="189" spans="1:10" ht="24.75" customHeight="1" x14ac:dyDescent="0.25">
      <c r="A189" s="84" t="s">
        <v>564</v>
      </c>
      <c r="B189" s="85" t="s">
        <v>565</v>
      </c>
      <c r="C189" s="86" t="s">
        <v>566</v>
      </c>
      <c r="D189" s="87" t="s">
        <v>295</v>
      </c>
      <c r="E189" s="208">
        <v>1</v>
      </c>
      <c r="F189" s="209">
        <v>38.270000000000003</v>
      </c>
      <c r="G189" s="210">
        <f>TRUNC(F189*$G$7,2)</f>
        <v>47.83</v>
      </c>
      <c r="H189" s="209">
        <f>ROUND(SUM(E189*G189),2)</f>
        <v>47.83</v>
      </c>
    </row>
    <row r="190" spans="1:10" ht="15.75" customHeight="1" x14ac:dyDescent="0.25">
      <c r="A190" s="84"/>
      <c r="B190" s="85"/>
      <c r="C190" s="86"/>
      <c r="D190" s="87"/>
      <c r="E190" s="208"/>
      <c r="F190" s="209"/>
      <c r="G190" s="210"/>
      <c r="H190" s="209"/>
    </row>
    <row r="191" spans="1:10" ht="24" customHeight="1" x14ac:dyDescent="0.25">
      <c r="A191" s="84" t="s">
        <v>567</v>
      </c>
      <c r="B191" s="85" t="s">
        <v>568</v>
      </c>
      <c r="C191" s="86" t="s">
        <v>569</v>
      </c>
      <c r="D191" s="87" t="s">
        <v>295</v>
      </c>
      <c r="E191" s="208">
        <v>19</v>
      </c>
      <c r="F191" s="209">
        <v>93.67</v>
      </c>
      <c r="G191" s="210">
        <f>TRUNC(F191*$G$7,2)</f>
        <v>117.08</v>
      </c>
      <c r="H191" s="209">
        <f>ROUND(SUM(E191*G191),2)</f>
        <v>2224.52</v>
      </c>
    </row>
    <row r="192" spans="1:10" ht="15" customHeight="1" x14ac:dyDescent="0.25">
      <c r="A192" s="84"/>
      <c r="B192" s="85"/>
      <c r="C192" s="86"/>
      <c r="D192" s="87"/>
      <c r="E192" s="208"/>
      <c r="F192" s="209"/>
      <c r="G192" s="210"/>
      <c r="H192" s="209"/>
    </row>
    <row r="193" spans="1:11" ht="82.5" customHeight="1" x14ac:dyDescent="0.25">
      <c r="A193" s="84" t="s">
        <v>570</v>
      </c>
      <c r="B193" s="85" t="s">
        <v>571</v>
      </c>
      <c r="C193" s="86" t="s">
        <v>572</v>
      </c>
      <c r="D193" s="87" t="s">
        <v>295</v>
      </c>
      <c r="E193" s="208">
        <v>1</v>
      </c>
      <c r="F193" s="209">
        <v>1747.2</v>
      </c>
      <c r="G193" s="210">
        <f>TRUNC(F193*$G$7,2)</f>
        <v>2184</v>
      </c>
      <c r="H193" s="209">
        <f>ROUND(SUM(E193*G193),2)</f>
        <v>2184</v>
      </c>
    </row>
    <row r="194" spans="1:11" ht="16.5" customHeight="1" x14ac:dyDescent="0.25">
      <c r="A194" s="84"/>
      <c r="B194" s="85"/>
      <c r="C194" s="86"/>
      <c r="D194" s="87"/>
      <c r="E194" s="208"/>
      <c r="F194" s="209"/>
      <c r="G194" s="210"/>
      <c r="H194" s="209"/>
    </row>
    <row r="195" spans="1:11" ht="15.75" customHeight="1" x14ac:dyDescent="0.25">
      <c r="A195" s="143"/>
      <c r="B195" s="144"/>
      <c r="C195" s="145" t="s">
        <v>573</v>
      </c>
      <c r="D195" s="144"/>
      <c r="E195" s="236"/>
      <c r="F195" s="237"/>
      <c r="G195" s="238"/>
      <c r="H195" s="239">
        <f>SUM(H8+H33+H64+H70+H94+H111+H120+H129+H165+H178)</f>
        <v>382413.42999999993</v>
      </c>
      <c r="J195" s="129"/>
      <c r="K195" s="129"/>
    </row>
    <row r="196" spans="1:11" x14ac:dyDescent="0.25">
      <c r="J196" s="129"/>
    </row>
    <row r="197" spans="1:11" x14ac:dyDescent="0.25">
      <c r="C197" s="146" t="s">
        <v>574</v>
      </c>
    </row>
    <row r="198" spans="1:11" ht="87.75" x14ac:dyDescent="0.25">
      <c r="C198" s="147" t="s">
        <v>575</v>
      </c>
    </row>
    <row r="199" spans="1:11" ht="60" x14ac:dyDescent="0.25">
      <c r="C199" s="147" t="s">
        <v>576</v>
      </c>
    </row>
    <row r="200" spans="1:11" ht="120" x14ac:dyDescent="0.25">
      <c r="C200" s="147" t="s">
        <v>577</v>
      </c>
    </row>
    <row r="201" spans="1:11" ht="120" x14ac:dyDescent="0.25">
      <c r="C201" s="147" t="s">
        <v>578</v>
      </c>
    </row>
    <row r="202" spans="1:11" ht="75" x14ac:dyDescent="0.25">
      <c r="C202" s="147" t="s">
        <v>579</v>
      </c>
    </row>
    <row r="203" spans="1:11" ht="75" x14ac:dyDescent="0.25">
      <c r="C203" s="147" t="s">
        <v>580</v>
      </c>
    </row>
    <row r="204" spans="1:11" ht="42.75" x14ac:dyDescent="0.25">
      <c r="C204" s="147" t="s">
        <v>581</v>
      </c>
    </row>
    <row r="205" spans="1:11" x14ac:dyDescent="0.25">
      <c r="C205" s="148" t="s">
        <v>582</v>
      </c>
    </row>
  </sheetData>
  <mergeCells count="3">
    <mergeCell ref="A3:C3"/>
    <mergeCell ref="E3:F3"/>
    <mergeCell ref="A4:C4"/>
  </mergeCells>
  <hyperlinks>
    <hyperlink ref="H6" r:id="rId1"/>
  </hyperlinks>
  <pageMargins left="0.51180555555555496" right="0.51180555555555496" top="0.78749999999999998" bottom="0.78749999999999998" header="0.51180555555555496" footer="0.51180555555555496"/>
  <pageSetup paperSize="9" firstPageNumber="0" orientation="portrait" r:id="rId2"/>
  <colBreaks count="1" manualBreakCount="1">
    <brk id="8" max="1048575" man="1"/>
  </col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view="pageBreakPreview" zoomScale="84" zoomScaleNormal="100" zoomScalePageLayoutView="84" workbookViewId="0">
      <selection activeCell="A7" sqref="A7:G23"/>
    </sheetView>
  </sheetViews>
  <sheetFormatPr defaultRowHeight="15" x14ac:dyDescent="0.25"/>
  <cols>
    <col min="1" max="1" width="8.28515625"/>
    <col min="2" max="2" width="38.42578125" customWidth="1"/>
    <col min="3" max="3" width="13.85546875" customWidth="1"/>
    <col min="4" max="4" width="14.42578125" customWidth="1"/>
    <col min="5" max="5" width="14.7109375" customWidth="1"/>
    <col min="6" max="6" width="13.42578125" customWidth="1"/>
    <col min="7" max="7" width="8.28515625" customWidth="1"/>
    <col min="8" max="8" width="8.7109375"/>
    <col min="9" max="9" width="10.28515625"/>
    <col min="10" max="11" width="8.7109375"/>
    <col min="12" max="12" width="10.28515625"/>
    <col min="13" max="254" width="8.7109375"/>
    <col min="255" max="255" width="8.28515625"/>
    <col min="256" max="257" width="32.7109375"/>
  </cols>
  <sheetData>
    <row r="1" spans="1:9" x14ac:dyDescent="0.25">
      <c r="A1" s="149" t="s">
        <v>262</v>
      </c>
      <c r="B1" s="150"/>
      <c r="C1" s="151"/>
      <c r="D1" s="151"/>
      <c r="E1" s="151"/>
      <c r="F1" s="151"/>
      <c r="G1" s="152"/>
    </row>
    <row r="2" spans="1:9" x14ac:dyDescent="0.25">
      <c r="A2" s="153" t="s">
        <v>263</v>
      </c>
      <c r="B2" s="154"/>
      <c r="C2" s="155"/>
      <c r="D2" s="155"/>
      <c r="E2" s="155"/>
      <c r="F2" s="154"/>
      <c r="G2" s="156"/>
    </row>
    <row r="3" spans="1:9" ht="15" customHeight="1" x14ac:dyDescent="0.25">
      <c r="A3" s="259" t="s">
        <v>583</v>
      </c>
      <c r="B3" s="259"/>
      <c r="C3" s="259"/>
      <c r="D3" s="157"/>
      <c r="E3" s="154"/>
      <c r="F3" s="155"/>
      <c r="G3" s="158"/>
    </row>
    <row r="4" spans="1:9" ht="15" customHeight="1" x14ac:dyDescent="0.25">
      <c r="A4" s="260" t="s">
        <v>584</v>
      </c>
      <c r="B4" s="260"/>
      <c r="C4" s="260"/>
      <c r="D4" s="159"/>
      <c r="E4" s="160"/>
      <c r="F4" s="160"/>
      <c r="G4" s="156"/>
    </row>
    <row r="5" spans="1:9" x14ac:dyDescent="0.25">
      <c r="A5" s="161"/>
      <c r="B5" s="162"/>
      <c r="C5" s="162"/>
      <c r="D5" s="163"/>
      <c r="E5" s="163"/>
      <c r="F5" s="164"/>
      <c r="G5" s="165"/>
    </row>
    <row r="6" spans="1:9" x14ac:dyDescent="0.25">
      <c r="A6" s="12"/>
      <c r="B6" s="261" t="s">
        <v>585</v>
      </c>
      <c r="C6" s="261"/>
      <c r="D6" s="261"/>
      <c r="E6" s="261"/>
      <c r="F6" s="261"/>
      <c r="G6" s="261"/>
    </row>
    <row r="7" spans="1:9" ht="15" customHeight="1" x14ac:dyDescent="0.25">
      <c r="A7" s="262" t="s">
        <v>271</v>
      </c>
      <c r="B7" s="263" t="s">
        <v>586</v>
      </c>
      <c r="C7" s="263" t="s">
        <v>587</v>
      </c>
      <c r="D7" s="263"/>
      <c r="E7" s="263"/>
      <c r="F7" s="263" t="s">
        <v>588</v>
      </c>
      <c r="G7" s="263"/>
    </row>
    <row r="8" spans="1:9" x14ac:dyDescent="0.25">
      <c r="A8" s="262"/>
      <c r="B8" s="263"/>
      <c r="C8" s="166">
        <v>30</v>
      </c>
      <c r="D8" s="166" t="s">
        <v>589</v>
      </c>
      <c r="E8" s="166" t="s">
        <v>590</v>
      </c>
      <c r="F8" s="263"/>
      <c r="G8" s="263"/>
    </row>
    <row r="9" spans="1:9" x14ac:dyDescent="0.25">
      <c r="A9" s="167" t="s">
        <v>278</v>
      </c>
      <c r="B9" s="168" t="s">
        <v>279</v>
      </c>
      <c r="C9" s="240">
        <f>F9*0.5</f>
        <v>4304.58</v>
      </c>
      <c r="D9" s="240">
        <f>F9*0.25</f>
        <v>2152.29</v>
      </c>
      <c r="E9" s="240">
        <f>F9*0.25</f>
        <v>2152.29</v>
      </c>
      <c r="F9" s="241">
        <f>'Planilha Rodoviária sem piso'!H8</f>
        <v>8609.16</v>
      </c>
      <c r="G9" s="169">
        <f>F9/F20</f>
        <v>2.2512703071123838E-2</v>
      </c>
      <c r="I9" s="170"/>
    </row>
    <row r="10" spans="1:9" x14ac:dyDescent="0.25">
      <c r="A10" s="167" t="s">
        <v>323</v>
      </c>
      <c r="B10" s="171" t="s">
        <v>324</v>
      </c>
      <c r="C10" s="240">
        <f>F10*0.6</f>
        <v>29624.784</v>
      </c>
      <c r="D10" s="240">
        <f>F10*0.4</f>
        <v>19749.856</v>
      </c>
      <c r="E10" s="240"/>
      <c r="F10" s="241">
        <f>'Planilha Rodoviária sem piso'!H33</f>
        <v>49374.64</v>
      </c>
      <c r="G10" s="169">
        <f>F10/F20</f>
        <v>0.12911324793169532</v>
      </c>
      <c r="I10" s="170"/>
    </row>
    <row r="11" spans="1:9" x14ac:dyDescent="0.25">
      <c r="A11" s="167" t="s">
        <v>372</v>
      </c>
      <c r="B11" s="171" t="s">
        <v>373</v>
      </c>
      <c r="C11" s="240">
        <f>F11</f>
        <v>15118.44</v>
      </c>
      <c r="D11" s="240"/>
      <c r="E11" s="240"/>
      <c r="F11" s="241">
        <f>'Planilha Rodoviária sem piso'!H64</f>
        <v>15118.44</v>
      </c>
      <c r="G11" s="169">
        <f>F11/F20</f>
        <v>3.9534281000539136E-2</v>
      </c>
      <c r="I11" s="170"/>
    </row>
    <row r="12" spans="1:9" x14ac:dyDescent="0.25">
      <c r="A12" s="167" t="s">
        <v>383</v>
      </c>
      <c r="B12" s="171" t="s">
        <v>591</v>
      </c>
      <c r="C12" s="240">
        <f>F12*0.15</f>
        <v>16833.75</v>
      </c>
      <c r="D12" s="240">
        <f>F12*0.55</f>
        <v>61723.750000000007</v>
      </c>
      <c r="E12" s="240">
        <f>F12*0.3</f>
        <v>33667.5</v>
      </c>
      <c r="F12" s="241">
        <f>'Planilha Rodoviária sem piso'!H70</f>
        <v>112225</v>
      </c>
      <c r="G12" s="169">
        <f>F12/F20</f>
        <v>0.2934651118293623</v>
      </c>
      <c r="I12" s="170"/>
    </row>
    <row r="13" spans="1:9" x14ac:dyDescent="0.25">
      <c r="A13" s="167" t="s">
        <v>421</v>
      </c>
      <c r="B13" s="171" t="s">
        <v>422</v>
      </c>
      <c r="C13" s="240"/>
      <c r="D13" s="240">
        <f>F13*0.7</f>
        <v>8474.1159999999982</v>
      </c>
      <c r="E13" s="240">
        <f>F13*0.3</f>
        <v>3631.7639999999997</v>
      </c>
      <c r="F13" s="241">
        <f>'Planilha Rodoviária sem piso'!H94</f>
        <v>12105.88</v>
      </c>
      <c r="G13" s="169">
        <f>F13/F20</f>
        <v>3.1656524196862025E-2</v>
      </c>
      <c r="I13" s="170"/>
    </row>
    <row r="14" spans="1:9" x14ac:dyDescent="0.25">
      <c r="A14" s="167" t="s">
        <v>447</v>
      </c>
      <c r="B14" s="171" t="s">
        <v>448</v>
      </c>
      <c r="C14" s="240">
        <f>F14*0.2</f>
        <v>20706.964000000004</v>
      </c>
      <c r="D14" s="240">
        <f>F14*0.35</f>
        <v>36237.186999999998</v>
      </c>
      <c r="E14" s="240">
        <f>F14*0.45</f>
        <v>46590.669000000002</v>
      </c>
      <c r="F14" s="241">
        <f>'Planilha Rodoviária sem piso'!H111</f>
        <v>103534.82</v>
      </c>
      <c r="G14" s="169">
        <f>F14/F20</f>
        <v>0.27074054381406015</v>
      </c>
      <c r="I14" s="170"/>
    </row>
    <row r="15" spans="1:9" x14ac:dyDescent="0.25">
      <c r="A15" s="167" t="s">
        <v>461</v>
      </c>
      <c r="B15" s="171" t="s">
        <v>592</v>
      </c>
      <c r="C15" s="240">
        <f>F15</f>
        <v>3472.86</v>
      </c>
      <c r="D15" s="240"/>
      <c r="E15" s="240"/>
      <c r="F15" s="241">
        <f>'Planilha Rodoviária sem piso'!H120</f>
        <v>3472.86</v>
      </c>
      <c r="G15" s="169">
        <f>F15/F20</f>
        <v>9.081427919516322E-3</v>
      </c>
      <c r="I15" s="170"/>
    </row>
    <row r="16" spans="1:9" x14ac:dyDescent="0.25">
      <c r="A16" s="167" t="s">
        <v>471</v>
      </c>
      <c r="B16" s="171" t="s">
        <v>472</v>
      </c>
      <c r="C16" s="240"/>
      <c r="D16" s="240"/>
      <c r="E16" s="240">
        <f>F16</f>
        <v>22524.85</v>
      </c>
      <c r="F16" s="241">
        <f>'Planilha Rodoviária sem piso'!H129</f>
        <v>22524.85</v>
      </c>
      <c r="G16" s="169">
        <f>F16/F20</f>
        <v>5.8901827794070945E-2</v>
      </c>
      <c r="I16" s="170"/>
    </row>
    <row r="17" spans="1:9" x14ac:dyDescent="0.25">
      <c r="A17" s="167" t="s">
        <v>527</v>
      </c>
      <c r="B17" s="171" t="s">
        <v>528</v>
      </c>
      <c r="C17" s="240"/>
      <c r="D17" s="240"/>
      <c r="E17" s="240">
        <f>F17</f>
        <v>31900.79</v>
      </c>
      <c r="F17" s="241">
        <f>'Planilha Rodoviária sem piso'!H165</f>
        <v>31900.79</v>
      </c>
      <c r="G17" s="169">
        <f>F17/F20</f>
        <v>8.3419638269503257E-2</v>
      </c>
      <c r="I17" s="170"/>
    </row>
    <row r="18" spans="1:9" x14ac:dyDescent="0.25">
      <c r="A18" s="167" t="s">
        <v>593</v>
      </c>
      <c r="B18" s="171" t="s">
        <v>548</v>
      </c>
      <c r="C18" s="240">
        <f>F18*0.05</f>
        <v>1177.3495</v>
      </c>
      <c r="D18" s="240">
        <f>F18*0.05</f>
        <v>1177.3495</v>
      </c>
      <c r="E18" s="240">
        <f>F18*0.9</f>
        <v>21192.291000000001</v>
      </c>
      <c r="F18" s="241">
        <f>'Planilha Rodoviária sem piso'!H178</f>
        <v>23546.99</v>
      </c>
      <c r="G18" s="169">
        <f>F18/F20</f>
        <v>6.1574694173266893E-2</v>
      </c>
      <c r="I18" s="170"/>
    </row>
    <row r="19" spans="1:9" x14ac:dyDescent="0.25">
      <c r="A19" s="12"/>
      <c r="B19" s="12"/>
      <c r="C19" s="241"/>
      <c r="D19" s="241"/>
      <c r="E19" s="241"/>
      <c r="F19" s="241"/>
      <c r="G19" s="12"/>
      <c r="I19" s="170"/>
    </row>
    <row r="20" spans="1:9" x14ac:dyDescent="0.25">
      <c r="A20" s="12"/>
      <c r="B20" s="1" t="s">
        <v>588</v>
      </c>
      <c r="C20" s="242">
        <f>SUM(C9:C19)</f>
        <v>91238.727500000008</v>
      </c>
      <c r="D20" s="242">
        <f>SUM(D9:D19)</f>
        <v>129514.54849999999</v>
      </c>
      <c r="E20" s="242">
        <f>SUM(E9:E19)</f>
        <v>161660.15400000001</v>
      </c>
      <c r="F20" s="243">
        <f>SUM(F9:F19)</f>
        <v>382413.42999999993</v>
      </c>
      <c r="G20" s="173">
        <f>SUM(G9:G19)</f>
        <v>1.0000000000000002</v>
      </c>
      <c r="I20" s="170"/>
    </row>
    <row r="21" spans="1:9" x14ac:dyDescent="0.25">
      <c r="A21" s="12"/>
      <c r="B21" s="1" t="s">
        <v>53</v>
      </c>
      <c r="C21" s="174">
        <f>C20/F20</f>
        <v>0.23858661946051429</v>
      </c>
      <c r="D21" s="174">
        <f>D20/F20</f>
        <v>0.33867677842799615</v>
      </c>
      <c r="E21" s="174">
        <f>E20/F20</f>
        <v>0.42273660211148972</v>
      </c>
      <c r="F21" s="175"/>
      <c r="G21" s="169"/>
    </row>
    <row r="22" spans="1:9" x14ac:dyDescent="0.25">
      <c r="A22" s="12"/>
      <c r="B22" s="1" t="s">
        <v>594</v>
      </c>
      <c r="C22" s="172">
        <f>C20</f>
        <v>91238.727500000008</v>
      </c>
      <c r="D22" s="172">
        <f>C22+D20</f>
        <v>220753.27600000001</v>
      </c>
      <c r="E22" s="176">
        <f>D22+E20</f>
        <v>382413.43000000005</v>
      </c>
      <c r="F22" s="12"/>
      <c r="G22" s="12"/>
    </row>
    <row r="23" spans="1:9" x14ac:dyDescent="0.25">
      <c r="A23" s="12"/>
      <c r="B23" s="1" t="s">
        <v>595</v>
      </c>
      <c r="C23" s="174">
        <f>C21</f>
        <v>0.23858661946051429</v>
      </c>
      <c r="D23" s="174">
        <f>C23+D21</f>
        <v>0.57726339788851044</v>
      </c>
      <c r="E23" s="177">
        <f>D23+E21</f>
        <v>1.0000000000000002</v>
      </c>
      <c r="F23" s="12"/>
      <c r="G23" s="12"/>
    </row>
  </sheetData>
  <mergeCells count="8">
    <mergeCell ref="A3:C3"/>
    <mergeCell ref="A4:C4"/>
    <mergeCell ref="B6:G6"/>
    <mergeCell ref="A7:A8"/>
    <mergeCell ref="B7:B8"/>
    <mergeCell ref="C7:E7"/>
    <mergeCell ref="F7:F8"/>
    <mergeCell ref="G7:G8"/>
  </mergeCells>
  <pageMargins left="0.51180555555555496" right="0.51180555555555496" top="0.78749999999999998" bottom="0.78749999999999998" header="0.51180555555555496" footer="0.51180555555555496"/>
  <pageSetup paperSize="9" firstPageNumber="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view="pageBreakPreview" zoomScale="84" zoomScaleNormal="100" zoomScalePageLayoutView="84" workbookViewId="0">
      <selection activeCell="I16" sqref="I16"/>
    </sheetView>
  </sheetViews>
  <sheetFormatPr defaultRowHeight="15" x14ac:dyDescent="0.25"/>
  <cols>
    <col min="1" max="1" width="8.7109375"/>
    <col min="2" max="2" width="10.5703125"/>
    <col min="3" max="3" width="35.5703125"/>
    <col min="4" max="5" width="8.7109375"/>
    <col min="6" max="6" width="12.140625"/>
    <col min="7" max="7" width="11.85546875"/>
    <col min="8" max="257" width="8.7109375"/>
  </cols>
  <sheetData>
    <row r="1" spans="1:7" ht="15" customHeight="1" x14ac:dyDescent="0.25">
      <c r="A1" s="264" t="s">
        <v>596</v>
      </c>
      <c r="B1" s="264"/>
      <c r="C1" s="178" t="s">
        <v>597</v>
      </c>
      <c r="D1" s="179" t="s">
        <v>283</v>
      </c>
      <c r="E1" s="180"/>
      <c r="F1" s="181"/>
      <c r="G1" s="182">
        <f>SUM(G3:G6)</f>
        <v>358.46999999999997</v>
      </c>
    </row>
    <row r="2" spans="1:7" x14ac:dyDescent="0.25">
      <c r="A2" s="183" t="s">
        <v>598</v>
      </c>
      <c r="B2" s="183" t="s">
        <v>599</v>
      </c>
      <c r="C2" s="183" t="s">
        <v>600</v>
      </c>
      <c r="D2" s="184"/>
      <c r="E2" s="184" t="s">
        <v>601</v>
      </c>
      <c r="F2" s="184" t="s">
        <v>602</v>
      </c>
      <c r="G2" s="184" t="s">
        <v>603</v>
      </c>
    </row>
    <row r="3" spans="1:7" x14ac:dyDescent="0.25">
      <c r="A3" s="185" t="s">
        <v>604</v>
      </c>
      <c r="B3" s="186" t="s">
        <v>605</v>
      </c>
      <c r="C3" s="187" t="s">
        <v>606</v>
      </c>
      <c r="D3" s="188" t="s">
        <v>607</v>
      </c>
      <c r="E3" s="189">
        <v>0.3826</v>
      </c>
      <c r="F3" s="190">
        <v>18.21</v>
      </c>
      <c r="G3" s="191">
        <f>ROUND(E3*F3,2)</f>
        <v>6.97</v>
      </c>
    </row>
    <row r="4" spans="1:7" x14ac:dyDescent="0.25">
      <c r="A4" s="192" t="s">
        <v>604</v>
      </c>
      <c r="B4" s="186">
        <v>6111</v>
      </c>
      <c r="C4" s="193" t="s">
        <v>608</v>
      </c>
      <c r="D4" s="194" t="s">
        <v>607</v>
      </c>
      <c r="E4" s="195">
        <v>0.191</v>
      </c>
      <c r="F4" s="196">
        <v>13.18</v>
      </c>
      <c r="G4" s="197">
        <f>ROUND(E4*F4,2)</f>
        <v>2.52</v>
      </c>
    </row>
    <row r="5" spans="1:7" ht="42" customHeight="1" x14ac:dyDescent="0.25">
      <c r="A5" s="192" t="s">
        <v>609</v>
      </c>
      <c r="B5" s="186">
        <v>2432</v>
      </c>
      <c r="C5" s="193" t="s">
        <v>610</v>
      </c>
      <c r="D5" s="194" t="s">
        <v>611</v>
      </c>
      <c r="E5" s="195">
        <v>3</v>
      </c>
      <c r="F5" s="195">
        <v>25.07</v>
      </c>
      <c r="G5" s="197">
        <f>ROUND(E5*F5,2)</f>
        <v>75.209999999999994</v>
      </c>
    </row>
    <row r="6" spans="1:7" ht="22.5" x14ac:dyDescent="0.25">
      <c r="A6" s="192" t="s">
        <v>609</v>
      </c>
      <c r="B6" s="186">
        <v>34390</v>
      </c>
      <c r="C6" s="193" t="s">
        <v>612</v>
      </c>
      <c r="D6" s="194" t="s">
        <v>613</v>
      </c>
      <c r="E6" s="195">
        <v>1</v>
      </c>
      <c r="F6" s="198">
        <v>273.77</v>
      </c>
      <c r="G6" s="197">
        <f>ROUND(E6*F6,2)</f>
        <v>273.77</v>
      </c>
    </row>
    <row r="8" spans="1:7" ht="22.5" customHeight="1" x14ac:dyDescent="0.25">
      <c r="A8" s="264" t="s">
        <v>614</v>
      </c>
      <c r="B8" s="264"/>
      <c r="C8" s="199" t="s">
        <v>615</v>
      </c>
      <c r="D8" s="200" t="s">
        <v>283</v>
      </c>
      <c r="E8" s="180"/>
      <c r="F8" s="181"/>
      <c r="G8" s="201">
        <f>SUM(G10:G12)</f>
        <v>754.35</v>
      </c>
    </row>
    <row r="9" spans="1:7" x14ac:dyDescent="0.25">
      <c r="A9" s="183" t="s">
        <v>598</v>
      </c>
      <c r="B9" s="183" t="s">
        <v>599</v>
      </c>
      <c r="C9" s="183" t="s">
        <v>600</v>
      </c>
      <c r="D9" s="184"/>
      <c r="E9" s="184" t="s">
        <v>601</v>
      </c>
      <c r="F9" s="184" t="s">
        <v>602</v>
      </c>
      <c r="G9" s="184" t="s">
        <v>603</v>
      </c>
    </row>
    <row r="10" spans="1:7" x14ac:dyDescent="0.25">
      <c r="A10" s="185" t="s">
        <v>604</v>
      </c>
      <c r="B10" s="202" t="s">
        <v>616</v>
      </c>
      <c r="C10" s="187" t="s">
        <v>617</v>
      </c>
      <c r="D10" s="188" t="s">
        <v>607</v>
      </c>
      <c r="E10" s="189">
        <v>0.2</v>
      </c>
      <c r="F10" s="190">
        <v>18.600000000000001</v>
      </c>
      <c r="G10" s="191">
        <f>ROUND(E10*F10,2)</f>
        <v>3.72</v>
      </c>
    </row>
    <row r="11" spans="1:7" x14ac:dyDescent="0.25">
      <c r="A11" s="192" t="s">
        <v>604</v>
      </c>
      <c r="B11" s="203" t="s">
        <v>618</v>
      </c>
      <c r="C11" s="193" t="s">
        <v>619</v>
      </c>
      <c r="D11" s="194" t="s">
        <v>607</v>
      </c>
      <c r="E11" s="189">
        <v>0.2</v>
      </c>
      <c r="F11" s="196">
        <v>13.18</v>
      </c>
      <c r="G11" s="197">
        <f>ROUND(E11*F11,2)</f>
        <v>2.64</v>
      </c>
    </row>
    <row r="12" spans="1:7" x14ac:dyDescent="0.25">
      <c r="A12" s="192" t="s">
        <v>609</v>
      </c>
      <c r="B12" s="203" t="s">
        <v>620</v>
      </c>
      <c r="C12" s="193" t="s">
        <v>621</v>
      </c>
      <c r="D12" s="194" t="s">
        <v>283</v>
      </c>
      <c r="E12" s="195">
        <v>1</v>
      </c>
      <c r="F12" s="195">
        <v>747.99</v>
      </c>
      <c r="G12" s="197">
        <f>ROUND(E12*F12,2)</f>
        <v>747.99</v>
      </c>
    </row>
  </sheetData>
  <mergeCells count="2">
    <mergeCell ref="A1:B1"/>
    <mergeCell ref="A8:B8"/>
  </mergeCells>
  <pageMargins left="0.51180555555555496" right="0.51180555555555496" top="0.78749999999999998" bottom="0.78749999999999998" header="0.51180555555555496" footer="0.51180555555555496"/>
  <pageSetup paperSize="9" firstPageNumber="0"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Planilhas</vt:lpstr>
      </vt:variant>
      <vt:variant>
        <vt:i4>4</vt:i4>
      </vt:variant>
    </vt:vector>
  </HeadingPairs>
  <TitlesOfParts>
    <vt:vector size="4" baseType="lpstr">
      <vt:lpstr>Memória sem piso</vt:lpstr>
      <vt:lpstr>Planilha Rodoviária sem piso</vt:lpstr>
      <vt:lpstr>cronograma</vt:lpstr>
      <vt:lpstr>Composição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Felipe Freitas</dc:creator>
  <cp:lastModifiedBy>Katia Sapedi Pereira Vidal Silva</cp:lastModifiedBy>
  <cp:revision>0</cp:revision>
  <dcterms:created xsi:type="dcterms:W3CDTF">2020-08-17T11:02:44Z</dcterms:created>
  <dcterms:modified xsi:type="dcterms:W3CDTF">2020-11-16T14:32:23Z</dcterms:modified>
</cp:coreProperties>
</file>