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aPasta_de_trabalho"/>
  <mc:AlternateContent xmlns:mc="http://schemas.openxmlformats.org/markup-compatibility/2006">
    <mc:Choice Requires="x15">
      <x15ac:absPath xmlns:x15ac="http://schemas.microsoft.com/office/spreadsheetml/2010/11/ac" url="H:\COMISSÃO DE LICITAÇÃO\Licitação 2020\Planilha\"/>
    </mc:Choice>
  </mc:AlternateContent>
  <bookViews>
    <workbookView xWindow="0" yWindow="0" windowWidth="28800" windowHeight="12435"/>
  </bookViews>
  <sheets>
    <sheet name="Planilha Orçamentária" sheetId="1" r:id="rId1"/>
    <sheet name="Memória de Cálculo" sheetId="2" r:id="rId2"/>
    <sheet name="Cron " sheetId="6" r:id="rId3"/>
    <sheet name="BDI sem justificativa" sheetId="4" r:id="rId4"/>
    <sheet name="Base dados - TCU 2622_2013" sheetId="5" r:id="rId5"/>
  </sheets>
  <externalReferences>
    <externalReference r:id="rId6"/>
  </externalReferences>
  <definedNames>
    <definedName name="_xlnm._FilterDatabase" localSheetId="0" hidden="1">'Planilha Orçamentária'!$C$11:$C$230</definedName>
    <definedName name="_xlnm.Print_Area" localSheetId="3">'BDI sem justificativa'!$A$2:$E$47</definedName>
    <definedName name="_xlnm.Print_Area" localSheetId="2">'Cron '!$A$1:$K$37</definedName>
    <definedName name="_xlnm.Print_Area" localSheetId="1">'Memória de Cálculo'!$A$1:$M$1506</definedName>
    <definedName name="_xlnm.Print_Area" localSheetId="0">'Planilha Orçamentária'!$A$1:$I$268</definedName>
    <definedName name="sigla_obras">'Base dados - TCU 2622_2013'!$A$7:$A$14</definedName>
    <definedName name="sigla_sn">'Base dados - TCU 2622_2013'!$A$2:$A$3</definedName>
    <definedName name="_xlnm.Print_Titles" localSheetId="1">'Memória de Cálculo'!$1:$15</definedName>
    <definedName name="_xlnm.Print_Titles" localSheetId="0">'Planilha Orçamentária'!$1:$15</definedName>
  </definedNames>
  <calcPr calcId="191029"/>
</workbook>
</file>

<file path=xl/calcChain.xml><?xml version="1.0" encoding="utf-8"?>
<calcChain xmlns="http://schemas.openxmlformats.org/spreadsheetml/2006/main">
  <c r="H37" i="6" l="1"/>
  <c r="G37" i="6"/>
  <c r="H36" i="6"/>
  <c r="G36" i="6"/>
  <c r="M29" i="6" l="1"/>
  <c r="G34" i="6"/>
  <c r="N33" i="6" l="1"/>
  <c r="M19" i="6"/>
  <c r="M20" i="6"/>
  <c r="M21" i="6"/>
  <c r="M22" i="6"/>
  <c r="M23" i="6"/>
  <c r="M24" i="6"/>
  <c r="M25" i="6"/>
  <c r="M26" i="6"/>
  <c r="M27" i="6"/>
  <c r="M28" i="6"/>
  <c r="M30" i="6"/>
  <c r="M31" i="6"/>
  <c r="M32" i="6"/>
  <c r="M18" i="6"/>
  <c r="I34" i="6" l="1"/>
  <c r="H34" i="6"/>
  <c r="F34" i="6"/>
  <c r="E34" i="6"/>
  <c r="D34" i="6"/>
  <c r="C34" i="6"/>
  <c r="B18" i="6"/>
  <c r="B20" i="6"/>
  <c r="B21" i="6"/>
  <c r="B22" i="6"/>
  <c r="B23" i="6"/>
  <c r="B24" i="6"/>
  <c r="B25" i="6"/>
  <c r="B26" i="6"/>
  <c r="B27" i="6"/>
  <c r="B28" i="6"/>
  <c r="B29" i="6"/>
  <c r="B30" i="6"/>
  <c r="B31" i="6"/>
  <c r="B32" i="6"/>
  <c r="B19" i="6"/>
  <c r="A32" i="6"/>
  <c r="A31" i="6"/>
  <c r="A30" i="6"/>
  <c r="A29" i="6"/>
  <c r="A28" i="6"/>
  <c r="A27" i="6"/>
  <c r="A26" i="6"/>
  <c r="A25" i="6"/>
  <c r="A24" i="6"/>
  <c r="A23" i="6"/>
  <c r="A22" i="6"/>
  <c r="A21" i="6"/>
  <c r="A20" i="6"/>
  <c r="A19" i="6"/>
  <c r="A18" i="6"/>
  <c r="M34" i="6" l="1"/>
  <c r="M309" i="2"/>
  <c r="M308" i="2" s="1"/>
  <c r="M302" i="2"/>
  <c r="M301" i="2"/>
  <c r="M298" i="2"/>
  <c r="M297" i="2" s="1"/>
  <c r="M295" i="2"/>
  <c r="M294" i="2" s="1"/>
  <c r="M291" i="2"/>
  <c r="M787" i="2"/>
  <c r="M786" i="2" s="1"/>
  <c r="M780" i="2"/>
  <c r="M779" i="2" s="1"/>
  <c r="M784" i="2"/>
  <c r="M783" i="2"/>
  <c r="M777" i="2"/>
  <c r="M776" i="2" s="1"/>
  <c r="H94" i="1"/>
  <c r="G94" i="1"/>
  <c r="I94" i="1" s="1"/>
  <c r="M756" i="2"/>
  <c r="M753" i="2"/>
  <c r="M752" i="2"/>
  <c r="M749" i="2"/>
  <c r="M748" i="2"/>
  <c r="M744" i="2"/>
  <c r="M741" i="2"/>
  <c r="M740" i="2"/>
  <c r="M737" i="2"/>
  <c r="M736" i="2"/>
  <c r="M733" i="2"/>
  <c r="M732" i="2"/>
  <c r="M729" i="2"/>
  <c r="M728" i="2"/>
  <c r="M761" i="2"/>
  <c r="M760" i="2" s="1"/>
  <c r="M782" i="2" l="1"/>
  <c r="M300" i="2"/>
  <c r="M293" i="2" s="1"/>
  <c r="M290" i="2" s="1"/>
  <c r="M775" i="2"/>
  <c r="G196" i="1"/>
  <c r="I196" i="1" s="1"/>
  <c r="H196" i="1"/>
  <c r="G197" i="1"/>
  <c r="I197" i="1" s="1"/>
  <c r="H197" i="1"/>
  <c r="G198" i="1"/>
  <c r="I198" i="1" s="1"/>
  <c r="H198" i="1"/>
  <c r="G199" i="1"/>
  <c r="I199" i="1" s="1"/>
  <c r="H199" i="1"/>
  <c r="G200" i="1"/>
  <c r="I200" i="1" s="1"/>
  <c r="H200" i="1"/>
  <c r="H195" i="1"/>
  <c r="G195" i="1"/>
  <c r="I195" i="1" s="1"/>
  <c r="G186" i="1"/>
  <c r="I186" i="1" s="1"/>
  <c r="H186" i="1"/>
  <c r="G187" i="1"/>
  <c r="I187" i="1" s="1"/>
  <c r="H187" i="1"/>
  <c r="G188" i="1"/>
  <c r="I188" i="1" s="1"/>
  <c r="H188" i="1"/>
  <c r="G189" i="1"/>
  <c r="I189" i="1" s="1"/>
  <c r="H189" i="1"/>
  <c r="G190" i="1"/>
  <c r="I190" i="1" s="1"/>
  <c r="H190" i="1"/>
  <c r="G191" i="1"/>
  <c r="I191" i="1" s="1"/>
  <c r="H191" i="1"/>
  <c r="G192" i="1"/>
  <c r="I192" i="1" s="1"/>
  <c r="H192" i="1"/>
  <c r="H185" i="1"/>
  <c r="G185" i="1"/>
  <c r="I185" i="1" s="1"/>
  <c r="C36" i="6" l="1"/>
  <c r="D36" i="6" s="1"/>
  <c r="E36" i="6" s="1"/>
  <c r="I194" i="1"/>
  <c r="I184" i="1"/>
  <c r="H194" i="1"/>
  <c r="H184" i="1"/>
  <c r="F36" i="6" l="1"/>
  <c r="I36" i="6" s="1"/>
  <c r="G123" i="1"/>
  <c r="I123" i="1" s="1"/>
  <c r="H123" i="1"/>
  <c r="G124" i="1"/>
  <c r="I124" i="1" s="1"/>
  <c r="H124" i="1"/>
  <c r="G125" i="1"/>
  <c r="I125" i="1" s="1"/>
  <c r="H125" i="1"/>
  <c r="G126" i="1"/>
  <c r="I126" i="1" s="1"/>
  <c r="H126" i="1"/>
  <c r="G127" i="1"/>
  <c r="I127" i="1" s="1"/>
  <c r="H127" i="1"/>
  <c r="G128" i="1"/>
  <c r="I128" i="1" s="1"/>
  <c r="H128" i="1"/>
  <c r="G129" i="1"/>
  <c r="I129" i="1" s="1"/>
  <c r="H129" i="1"/>
  <c r="G130" i="1"/>
  <c r="I130" i="1" s="1"/>
  <c r="H130" i="1"/>
  <c r="G131" i="1"/>
  <c r="I131" i="1" s="1"/>
  <c r="H131" i="1"/>
  <c r="G132" i="1"/>
  <c r="I132" i="1" s="1"/>
  <c r="H132" i="1"/>
  <c r="G133" i="1"/>
  <c r="I133" i="1" s="1"/>
  <c r="H133" i="1"/>
  <c r="G134" i="1"/>
  <c r="I134" i="1" s="1"/>
  <c r="H134" i="1"/>
  <c r="G135" i="1"/>
  <c r="I135" i="1" s="1"/>
  <c r="H135" i="1"/>
  <c r="G136" i="1"/>
  <c r="I136" i="1" s="1"/>
  <c r="H136" i="1"/>
  <c r="G137" i="1"/>
  <c r="I137" i="1" s="1"/>
  <c r="H137" i="1"/>
  <c r="G138" i="1"/>
  <c r="I138" i="1" s="1"/>
  <c r="H138" i="1"/>
  <c r="G139" i="1"/>
  <c r="I139" i="1" s="1"/>
  <c r="H139" i="1"/>
  <c r="G140" i="1"/>
  <c r="I140" i="1" s="1"/>
  <c r="H140" i="1"/>
  <c r="G141" i="1"/>
  <c r="I141" i="1" s="1"/>
  <c r="H141" i="1"/>
  <c r="G142" i="1"/>
  <c r="I142" i="1" s="1"/>
  <c r="H142" i="1"/>
  <c r="G143" i="1"/>
  <c r="I143" i="1" s="1"/>
  <c r="H143" i="1"/>
  <c r="G144" i="1"/>
  <c r="I144" i="1" s="1"/>
  <c r="H144" i="1"/>
  <c r="G145" i="1"/>
  <c r="I145" i="1" s="1"/>
  <c r="H145" i="1"/>
  <c r="G146" i="1"/>
  <c r="I146" i="1" s="1"/>
  <c r="H146" i="1"/>
  <c r="G147" i="1"/>
  <c r="I147" i="1" s="1"/>
  <c r="H147" i="1"/>
  <c r="G148" i="1"/>
  <c r="I148" i="1" s="1"/>
  <c r="H148" i="1"/>
  <c r="G149" i="1"/>
  <c r="I149" i="1" s="1"/>
  <c r="H149" i="1"/>
  <c r="G150" i="1"/>
  <c r="I150" i="1" s="1"/>
  <c r="H150" i="1"/>
  <c r="G151" i="1"/>
  <c r="I151" i="1" s="1"/>
  <c r="H151" i="1"/>
  <c r="G152" i="1"/>
  <c r="I152" i="1" s="1"/>
  <c r="H152" i="1"/>
  <c r="G153" i="1"/>
  <c r="I153" i="1" s="1"/>
  <c r="H153" i="1"/>
  <c r="G154" i="1"/>
  <c r="I154" i="1" s="1"/>
  <c r="H154" i="1"/>
  <c r="G155" i="1"/>
  <c r="I155" i="1" s="1"/>
  <c r="H155" i="1"/>
  <c r="G156" i="1"/>
  <c r="I156" i="1" s="1"/>
  <c r="H156" i="1"/>
  <c r="G157" i="1"/>
  <c r="I157" i="1" s="1"/>
  <c r="H157" i="1"/>
  <c r="G158" i="1"/>
  <c r="I158" i="1" s="1"/>
  <c r="H158" i="1"/>
  <c r="G159" i="1"/>
  <c r="I159" i="1" s="1"/>
  <c r="H159" i="1"/>
  <c r="G160" i="1"/>
  <c r="I160" i="1" s="1"/>
  <c r="H160" i="1"/>
  <c r="G161" i="1"/>
  <c r="I161" i="1" s="1"/>
  <c r="H161" i="1"/>
  <c r="G162" i="1"/>
  <c r="I162" i="1" s="1"/>
  <c r="H162" i="1"/>
  <c r="G163" i="1"/>
  <c r="I163" i="1" s="1"/>
  <c r="H163" i="1"/>
  <c r="G164" i="1"/>
  <c r="I164" i="1" s="1"/>
  <c r="H164" i="1"/>
  <c r="G165" i="1"/>
  <c r="I165" i="1" s="1"/>
  <c r="H165" i="1"/>
  <c r="G166" i="1"/>
  <c r="I166" i="1" s="1"/>
  <c r="H166" i="1"/>
  <c r="G167" i="1"/>
  <c r="I167" i="1" s="1"/>
  <c r="H167" i="1"/>
  <c r="G168" i="1"/>
  <c r="I168" i="1" s="1"/>
  <c r="H168" i="1"/>
  <c r="G169" i="1"/>
  <c r="I169" i="1" s="1"/>
  <c r="H169" i="1"/>
  <c r="G170" i="1"/>
  <c r="I170" i="1" s="1"/>
  <c r="H170" i="1"/>
  <c r="G171" i="1"/>
  <c r="I171" i="1" s="1"/>
  <c r="H171" i="1"/>
  <c r="G172" i="1"/>
  <c r="I172" i="1" s="1"/>
  <c r="H172" i="1"/>
  <c r="G173" i="1"/>
  <c r="I173" i="1" s="1"/>
  <c r="H173" i="1"/>
  <c r="G174" i="1"/>
  <c r="I174" i="1" s="1"/>
  <c r="H174" i="1"/>
  <c r="G175" i="1"/>
  <c r="I175" i="1" s="1"/>
  <c r="H175" i="1"/>
  <c r="G176" i="1"/>
  <c r="I176" i="1" s="1"/>
  <c r="H176" i="1"/>
  <c r="G177" i="1"/>
  <c r="I177" i="1" s="1"/>
  <c r="H177" i="1"/>
  <c r="G178" i="1"/>
  <c r="I178" i="1" s="1"/>
  <c r="H178" i="1"/>
  <c r="G179" i="1"/>
  <c r="I179" i="1" s="1"/>
  <c r="H179" i="1"/>
  <c r="G180" i="1"/>
  <c r="I180" i="1" s="1"/>
  <c r="H180" i="1"/>
  <c r="G181" i="1"/>
  <c r="I181" i="1" s="1"/>
  <c r="H181" i="1"/>
  <c r="G182" i="1"/>
  <c r="I182" i="1" s="1"/>
  <c r="H182" i="1"/>
  <c r="G122" i="1"/>
  <c r="I122" i="1" s="1"/>
  <c r="H122" i="1"/>
  <c r="H121" i="1"/>
  <c r="G121" i="1"/>
  <c r="I121" i="1" s="1"/>
  <c r="G95" i="1"/>
  <c r="I95" i="1" s="1"/>
  <c r="H95" i="1"/>
  <c r="I119" i="1" l="1"/>
  <c r="I117" i="1" s="1"/>
  <c r="J29" i="6" s="1"/>
  <c r="N29" i="6" s="1"/>
  <c r="H119" i="1"/>
  <c r="H117" i="1" s="1"/>
  <c r="G229" i="1"/>
  <c r="G212" i="1"/>
  <c r="G213" i="1"/>
  <c r="G214" i="1"/>
  <c r="G215" i="1"/>
  <c r="G216" i="1"/>
  <c r="G217" i="1"/>
  <c r="G218" i="1"/>
  <c r="G219" i="1"/>
  <c r="G220" i="1"/>
  <c r="G221" i="1"/>
  <c r="G222" i="1"/>
  <c r="G223" i="1"/>
  <c r="G224" i="1"/>
  <c r="G225" i="1"/>
  <c r="G226" i="1"/>
  <c r="G211" i="1"/>
  <c r="G204" i="1"/>
  <c r="G205" i="1"/>
  <c r="G206" i="1"/>
  <c r="G207" i="1"/>
  <c r="G208" i="1"/>
  <c r="G203" i="1"/>
  <c r="G112" i="1"/>
  <c r="G113" i="1"/>
  <c r="G114" i="1"/>
  <c r="G115" i="1"/>
  <c r="G111" i="1"/>
  <c r="G99" i="1"/>
  <c r="G100" i="1"/>
  <c r="G101" i="1"/>
  <c r="G102" i="1"/>
  <c r="G103" i="1"/>
  <c r="G104" i="1"/>
  <c r="G105" i="1"/>
  <c r="G106" i="1"/>
  <c r="G107" i="1"/>
  <c r="G108" i="1"/>
  <c r="G98" i="1"/>
  <c r="G93" i="1"/>
  <c r="G92" i="1"/>
  <c r="G72" i="1"/>
  <c r="G73" i="1"/>
  <c r="G74" i="1"/>
  <c r="G75" i="1"/>
  <c r="G76" i="1"/>
  <c r="G77" i="1"/>
  <c r="G78" i="1"/>
  <c r="G79" i="1"/>
  <c r="G80" i="1"/>
  <c r="G81" i="1"/>
  <c r="G82" i="1"/>
  <c r="G83" i="1"/>
  <c r="G84" i="1"/>
  <c r="G85" i="1"/>
  <c r="G86" i="1"/>
  <c r="G87" i="1"/>
  <c r="G88" i="1"/>
  <c r="G89" i="1"/>
  <c r="G71" i="1"/>
  <c r="G66" i="1"/>
  <c r="G67" i="1"/>
  <c r="G68" i="1"/>
  <c r="G65" i="1"/>
  <c r="G61" i="1"/>
  <c r="G62" i="1"/>
  <c r="G60" i="1"/>
  <c r="G56" i="1"/>
  <c r="G57" i="1"/>
  <c r="G55" i="1"/>
  <c r="G51" i="1"/>
  <c r="G52" i="1"/>
  <c r="G50" i="1"/>
  <c r="G42" i="1"/>
  <c r="G43" i="1"/>
  <c r="G44" i="1"/>
  <c r="G45" i="1"/>
  <c r="G46" i="1"/>
  <c r="G47" i="1"/>
  <c r="G41" i="1"/>
  <c r="G22" i="1"/>
  <c r="G23" i="1"/>
  <c r="G24" i="1"/>
  <c r="G25" i="1"/>
  <c r="G26" i="1"/>
  <c r="G27" i="1"/>
  <c r="G28" i="1"/>
  <c r="G29" i="1"/>
  <c r="G30" i="1"/>
  <c r="G31" i="1"/>
  <c r="G32" i="1"/>
  <c r="G33" i="1"/>
  <c r="G34" i="1"/>
  <c r="G35" i="1"/>
  <c r="G36" i="1"/>
  <c r="G37" i="1"/>
  <c r="G38" i="1"/>
  <c r="G21" i="1"/>
  <c r="G18" i="1"/>
  <c r="G17" i="1"/>
  <c r="T14" i="5"/>
  <c r="T13" i="5"/>
  <c r="T12" i="5"/>
  <c r="T11" i="5"/>
  <c r="T10" i="5"/>
  <c r="T9" i="5"/>
  <c r="T8" i="5"/>
  <c r="T7" i="5"/>
  <c r="A40" i="4"/>
  <c r="M27" i="4"/>
  <c r="K27" i="4"/>
  <c r="J27" i="4" s="1"/>
  <c r="C23" i="4" s="1"/>
  <c r="I27" i="4"/>
  <c r="E28" i="4" s="1"/>
  <c r="B23" i="4" s="1"/>
  <c r="E27" i="4"/>
  <c r="D27" i="4"/>
  <c r="E24" i="4"/>
  <c r="D24" i="4"/>
  <c r="C24" i="4"/>
  <c r="B24" i="4"/>
  <c r="E22" i="4"/>
  <c r="A22" i="4"/>
  <c r="D22" i="4" s="1"/>
  <c r="D21" i="4"/>
  <c r="C21" i="4"/>
  <c r="B21" i="4"/>
  <c r="D20" i="4"/>
  <c r="C20" i="4"/>
  <c r="B20" i="4"/>
  <c r="D19" i="4"/>
  <c r="C19" i="4"/>
  <c r="B19" i="4"/>
  <c r="D18" i="4"/>
  <c r="C18" i="4"/>
  <c r="B18" i="4"/>
  <c r="D17" i="4"/>
  <c r="C17" i="4"/>
  <c r="B17" i="4"/>
  <c r="D16" i="4"/>
  <c r="C16" i="4"/>
  <c r="B16" i="4"/>
  <c r="D15" i="4"/>
  <c r="C15" i="4"/>
  <c r="B15" i="4"/>
  <c r="D14" i="4"/>
  <c r="C14" i="4"/>
  <c r="B14" i="4"/>
  <c r="F10" i="4"/>
  <c r="F9" i="4"/>
  <c r="F8" i="4"/>
  <c r="B22" i="4" l="1"/>
  <c r="F20" i="4"/>
  <c r="F15" i="4"/>
  <c r="F19" i="4"/>
  <c r="L28" i="4"/>
  <c r="F14" i="4"/>
  <c r="F18" i="4"/>
  <c r="F17" i="4"/>
  <c r="F21" i="4"/>
  <c r="F16" i="4"/>
  <c r="F22" i="4"/>
  <c r="J28" i="4"/>
  <c r="C22" i="4"/>
  <c r="L27" i="4"/>
  <c r="D23" i="4" s="1"/>
  <c r="E29" i="4"/>
  <c r="I229" i="1"/>
  <c r="I228" i="1" s="1"/>
  <c r="J32" i="6" s="1"/>
  <c r="N32" i="6" s="1"/>
  <c r="I212" i="1"/>
  <c r="I213" i="1"/>
  <c r="I214" i="1"/>
  <c r="I215" i="1"/>
  <c r="I216" i="1"/>
  <c r="I217" i="1"/>
  <c r="I218" i="1"/>
  <c r="I219" i="1"/>
  <c r="I220" i="1"/>
  <c r="I221" i="1"/>
  <c r="I222" i="1"/>
  <c r="I223" i="1"/>
  <c r="I224" i="1"/>
  <c r="I225" i="1"/>
  <c r="I226" i="1"/>
  <c r="I211" i="1"/>
  <c r="I204" i="1"/>
  <c r="I205" i="1"/>
  <c r="I206" i="1"/>
  <c r="I207" i="1"/>
  <c r="I208" i="1"/>
  <c r="I203" i="1"/>
  <c r="I112" i="1"/>
  <c r="I113" i="1"/>
  <c r="I114" i="1"/>
  <c r="I115" i="1"/>
  <c r="I111" i="1"/>
  <c r="I99" i="1"/>
  <c r="I100" i="1"/>
  <c r="I101" i="1"/>
  <c r="I102" i="1"/>
  <c r="I103" i="1"/>
  <c r="I104" i="1"/>
  <c r="I105" i="1"/>
  <c r="I106" i="1"/>
  <c r="I107" i="1"/>
  <c r="I108" i="1"/>
  <c r="I98" i="1"/>
  <c r="I93" i="1"/>
  <c r="I92" i="1"/>
  <c r="I78" i="1"/>
  <c r="I79" i="1"/>
  <c r="I80" i="1"/>
  <c r="I81" i="1"/>
  <c r="I82" i="1"/>
  <c r="I83" i="1"/>
  <c r="I84" i="1"/>
  <c r="I85" i="1"/>
  <c r="I86" i="1"/>
  <c r="I87" i="1"/>
  <c r="I88" i="1"/>
  <c r="I89" i="1"/>
  <c r="I76" i="1"/>
  <c r="I77" i="1"/>
  <c r="I75" i="1"/>
  <c r="I74" i="1"/>
  <c r="I72" i="1"/>
  <c r="I73" i="1"/>
  <c r="I71" i="1"/>
  <c r="I66" i="1"/>
  <c r="I67" i="1"/>
  <c r="I68" i="1"/>
  <c r="I65" i="1"/>
  <c r="I61" i="1"/>
  <c r="I62" i="1"/>
  <c r="I60" i="1"/>
  <c r="I56" i="1"/>
  <c r="I57" i="1"/>
  <c r="I55" i="1"/>
  <c r="I51" i="1"/>
  <c r="I52" i="1"/>
  <c r="I50" i="1"/>
  <c r="I42" i="1"/>
  <c r="I43" i="1"/>
  <c r="I44" i="1"/>
  <c r="I45" i="1"/>
  <c r="I46" i="1"/>
  <c r="I47" i="1"/>
  <c r="I41" i="1"/>
  <c r="I22" i="1"/>
  <c r="I23" i="1"/>
  <c r="I24" i="1"/>
  <c r="I25" i="1"/>
  <c r="I26" i="1"/>
  <c r="I27" i="1"/>
  <c r="I28" i="1"/>
  <c r="I29" i="1"/>
  <c r="I30" i="1"/>
  <c r="I31" i="1"/>
  <c r="I32" i="1"/>
  <c r="I33" i="1"/>
  <c r="I34" i="1"/>
  <c r="I35" i="1"/>
  <c r="I36" i="1"/>
  <c r="I37" i="1"/>
  <c r="I38" i="1"/>
  <c r="I21" i="1"/>
  <c r="I18" i="1"/>
  <c r="I17" i="1"/>
  <c r="H229" i="1"/>
  <c r="H228" i="1" s="1"/>
  <c r="H212" i="1"/>
  <c r="H213" i="1"/>
  <c r="H214" i="1"/>
  <c r="H215" i="1"/>
  <c r="H216" i="1"/>
  <c r="H217" i="1"/>
  <c r="H218" i="1"/>
  <c r="H219" i="1"/>
  <c r="H220" i="1"/>
  <c r="H221" i="1"/>
  <c r="H222" i="1"/>
  <c r="H223" i="1"/>
  <c r="H224" i="1"/>
  <c r="H225" i="1"/>
  <c r="H226" i="1"/>
  <c r="H211" i="1"/>
  <c r="H204" i="1"/>
  <c r="H205" i="1"/>
  <c r="H206" i="1"/>
  <c r="H207" i="1"/>
  <c r="H208" i="1"/>
  <c r="H203" i="1"/>
  <c r="H112" i="1"/>
  <c r="H113" i="1"/>
  <c r="H114" i="1"/>
  <c r="H115" i="1"/>
  <c r="H111" i="1"/>
  <c r="H99" i="1"/>
  <c r="H100" i="1"/>
  <c r="H101" i="1"/>
  <c r="H102" i="1"/>
  <c r="H103" i="1"/>
  <c r="H104" i="1"/>
  <c r="H105" i="1"/>
  <c r="H106" i="1"/>
  <c r="H107" i="1"/>
  <c r="H108" i="1"/>
  <c r="H98" i="1"/>
  <c r="H93" i="1"/>
  <c r="H92" i="1"/>
  <c r="H72" i="1"/>
  <c r="H73" i="1"/>
  <c r="H74" i="1"/>
  <c r="H75" i="1"/>
  <c r="H76" i="1"/>
  <c r="H77" i="1"/>
  <c r="H78" i="1"/>
  <c r="H79" i="1"/>
  <c r="H80" i="1"/>
  <c r="H81" i="1"/>
  <c r="H82" i="1"/>
  <c r="H83" i="1"/>
  <c r="H84" i="1"/>
  <c r="H85" i="1"/>
  <c r="H86" i="1"/>
  <c r="H87" i="1"/>
  <c r="H88" i="1"/>
  <c r="H89" i="1"/>
  <c r="H71" i="1"/>
  <c r="H66" i="1"/>
  <c r="H67" i="1"/>
  <c r="H68" i="1"/>
  <c r="H65" i="1"/>
  <c r="H61" i="1"/>
  <c r="H62" i="1"/>
  <c r="H60" i="1"/>
  <c r="H56" i="1"/>
  <c r="H57" i="1"/>
  <c r="H55" i="1"/>
  <c r="H51" i="1"/>
  <c r="H52" i="1"/>
  <c r="H50" i="1"/>
  <c r="H42" i="1"/>
  <c r="H43" i="1"/>
  <c r="H44" i="1"/>
  <c r="H45" i="1"/>
  <c r="H46" i="1"/>
  <c r="H47" i="1"/>
  <c r="H41" i="1"/>
  <c r="H22" i="1"/>
  <c r="H23" i="1"/>
  <c r="H24" i="1"/>
  <c r="H25" i="1"/>
  <c r="H26" i="1"/>
  <c r="H27" i="1"/>
  <c r="H28" i="1"/>
  <c r="H29" i="1"/>
  <c r="H30" i="1"/>
  <c r="H31" i="1"/>
  <c r="H32" i="1"/>
  <c r="H33" i="1"/>
  <c r="H34" i="1"/>
  <c r="H35" i="1"/>
  <c r="H36" i="1"/>
  <c r="H37" i="1"/>
  <c r="H38" i="1"/>
  <c r="H21" i="1"/>
  <c r="H18" i="1"/>
  <c r="H17" i="1"/>
  <c r="H59" i="1" l="1"/>
  <c r="I91" i="1"/>
  <c r="J26" i="6" s="1"/>
  <c r="N26" i="6" s="1"/>
  <c r="H97" i="1"/>
  <c r="H16" i="1"/>
  <c r="H91" i="1"/>
  <c r="H202" i="1"/>
  <c r="H210" i="1"/>
  <c r="I59" i="1"/>
  <c r="J23" i="6" s="1"/>
  <c r="N23" i="6" s="1"/>
  <c r="H40" i="1"/>
  <c r="H54" i="1"/>
  <c r="H64" i="1"/>
  <c r="H70" i="1"/>
  <c r="H110" i="1"/>
  <c r="H20" i="1"/>
  <c r="H49" i="1"/>
  <c r="I202" i="1"/>
  <c r="J30" i="6" s="1"/>
  <c r="N30" i="6" s="1"/>
  <c r="I210" i="1"/>
  <c r="J31" i="6" s="1"/>
  <c r="N31" i="6" s="1"/>
  <c r="I110" i="1"/>
  <c r="J28" i="6" s="1"/>
  <c r="N28" i="6" s="1"/>
  <c r="I97" i="1"/>
  <c r="J27" i="6" s="1"/>
  <c r="N27" i="6" s="1"/>
  <c r="I70" i="1"/>
  <c r="J25" i="6" s="1"/>
  <c r="N25" i="6" s="1"/>
  <c r="I64" i="1"/>
  <c r="J24" i="6" s="1"/>
  <c r="N24" i="6" s="1"/>
  <c r="I54" i="1"/>
  <c r="J22" i="6" s="1"/>
  <c r="N22" i="6" s="1"/>
  <c r="I49" i="1"/>
  <c r="J21" i="6" s="1"/>
  <c r="N21" i="6" s="1"/>
  <c r="I40" i="1"/>
  <c r="J20" i="6" s="1"/>
  <c r="N20" i="6" s="1"/>
  <c r="I16" i="1"/>
  <c r="J18" i="6" s="1"/>
  <c r="N18" i="6" s="1"/>
  <c r="I20" i="1"/>
  <c r="J19" i="6" s="1"/>
  <c r="N19" i="6" s="1"/>
  <c r="G23" i="4"/>
  <c r="E23" i="4" s="1"/>
  <c r="E26" i="4" s="1"/>
  <c r="F24" i="4" s="1"/>
  <c r="M632" i="2"/>
  <c r="M631" i="2"/>
  <c r="M628" i="2"/>
  <c r="M627" i="2" s="1"/>
  <c r="M625" i="2"/>
  <c r="M624" i="2" s="1"/>
  <c r="M1358" i="2"/>
  <c r="M1357" i="2"/>
  <c r="M1356" i="2"/>
  <c r="M1355" i="2"/>
  <c r="M1354" i="2"/>
  <c r="M1353" i="2"/>
  <c r="M1350" i="2"/>
  <c r="M1349" i="2" s="1"/>
  <c r="M1347" i="2"/>
  <c r="M1346" i="2"/>
  <c r="M1342" i="2"/>
  <c r="M1343" i="2"/>
  <c r="M1341" i="2"/>
  <c r="M622" i="2"/>
  <c r="M621" i="2" s="1"/>
  <c r="J34" i="6" l="1"/>
  <c r="I231" i="1"/>
  <c r="H231" i="1"/>
  <c r="M630" i="2"/>
  <c r="M620" i="2" s="1"/>
  <c r="M1340" i="2"/>
  <c r="M1345" i="2"/>
  <c r="M1352" i="2"/>
  <c r="M755" i="2"/>
  <c r="M743" i="2"/>
  <c r="M686" i="2"/>
  <c r="M685" i="2"/>
  <c r="M684" i="2"/>
  <c r="M722" i="2"/>
  <c r="M721" i="2" s="1"/>
  <c r="M719" i="2"/>
  <c r="M718" i="2"/>
  <c r="M715" i="2"/>
  <c r="M714" i="2"/>
  <c r="M681" i="2"/>
  <c r="M710" i="2"/>
  <c r="M709" i="2" s="1"/>
  <c r="M680" i="2"/>
  <c r="M679" i="2"/>
  <c r="M707" i="2"/>
  <c r="M706" i="2"/>
  <c r="M703" i="2"/>
  <c r="M702" i="2"/>
  <c r="M699" i="2"/>
  <c r="M698" i="2"/>
  <c r="M695" i="2"/>
  <c r="M694" i="2"/>
  <c r="M675" i="2"/>
  <c r="M674" i="2"/>
  <c r="M673" i="2"/>
  <c r="N34" i="6" l="1"/>
  <c r="G35" i="6"/>
  <c r="H35" i="6"/>
  <c r="K21" i="6"/>
  <c r="K29" i="6"/>
  <c r="K18" i="6"/>
  <c r="D35" i="6"/>
  <c r="I35" i="6"/>
  <c r="K26" i="6"/>
  <c r="K30" i="6"/>
  <c r="K19" i="6"/>
  <c r="K27" i="6"/>
  <c r="F35" i="6"/>
  <c r="K24" i="6"/>
  <c r="K32" i="6"/>
  <c r="K22" i="6"/>
  <c r="E35" i="6"/>
  <c r="C35" i="6"/>
  <c r="C37" i="6" s="1"/>
  <c r="K23" i="6"/>
  <c r="K31" i="6"/>
  <c r="K20" i="6"/>
  <c r="K28" i="6"/>
  <c r="K25" i="6"/>
  <c r="M1339" i="2"/>
  <c r="M731" i="2"/>
  <c r="M739" i="2"/>
  <c r="M747" i="2"/>
  <c r="M683" i="2"/>
  <c r="M727" i="2"/>
  <c r="M735" i="2"/>
  <c r="M713" i="2"/>
  <c r="M672" i="2"/>
  <c r="M671" i="2" s="1"/>
  <c r="M705" i="2"/>
  <c r="M701" i="2"/>
  <c r="M697" i="2"/>
  <c r="M678" i="2"/>
  <c r="M751" i="2"/>
  <c r="M717" i="2"/>
  <c r="M693" i="2"/>
  <c r="J1334" i="2"/>
  <c r="J1333" i="2"/>
  <c r="M646" i="2"/>
  <c r="M645" i="2" s="1"/>
  <c r="M643" i="2"/>
  <c r="M642" i="2" s="1"/>
  <c r="M640" i="2"/>
  <c r="M639" i="2" s="1"/>
  <c r="M637" i="2"/>
  <c r="M636" i="2" s="1"/>
  <c r="M1490" i="2"/>
  <c r="M1489" i="2" s="1"/>
  <c r="M1485" i="2"/>
  <c r="M1484" i="2" s="1"/>
  <c r="M1482" i="2"/>
  <c r="M1481" i="2"/>
  <c r="M1476" i="2"/>
  <c r="M1475" i="2" s="1"/>
  <c r="M1474" i="2" s="1"/>
  <c r="M1471" i="2"/>
  <c r="M1470" i="2" s="1"/>
  <c r="M1469" i="2" s="1"/>
  <c r="M1466" i="2"/>
  <c r="M1465" i="2" s="1"/>
  <c r="M1464" i="2" s="1"/>
  <c r="M1461" i="2"/>
  <c r="M1460" i="2" s="1"/>
  <c r="M1459" i="2" s="1"/>
  <c r="M1456" i="2"/>
  <c r="M1455" i="2" s="1"/>
  <c r="M1454" i="2" s="1"/>
  <c r="M1451" i="2"/>
  <c r="M1450" i="2" s="1"/>
  <c r="M1449" i="2" s="1"/>
  <c r="M1446" i="2"/>
  <c r="M1445" i="2" s="1"/>
  <c r="M1443" i="2"/>
  <c r="M1442" i="2" s="1"/>
  <c r="M1438" i="2"/>
  <c r="M1437" i="2" s="1"/>
  <c r="M1435" i="2"/>
  <c r="M1434" i="2" s="1"/>
  <c r="M1430" i="2"/>
  <c r="M1429" i="2"/>
  <c r="M1426" i="2"/>
  <c r="M1425" i="2"/>
  <c r="M1424" i="2"/>
  <c r="M1419" i="2"/>
  <c r="M1418" i="2"/>
  <c r="M1415" i="2"/>
  <c r="M1414" i="2"/>
  <c r="M1409" i="2"/>
  <c r="M1408" i="2"/>
  <c r="M1407" i="2"/>
  <c r="M1404" i="2"/>
  <c r="M1403" i="2"/>
  <c r="M1402" i="2"/>
  <c r="M1397" i="2"/>
  <c r="M1396" i="2"/>
  <c r="M1395" i="2"/>
  <c r="M1392" i="2"/>
  <c r="M1391" i="2"/>
  <c r="M1390" i="2"/>
  <c r="M1387" i="2"/>
  <c r="M1386" i="2" s="1"/>
  <c r="M1382" i="2"/>
  <c r="M1381" i="2"/>
  <c r="M1378" i="2"/>
  <c r="M1377" i="2"/>
  <c r="M1376" i="2"/>
  <c r="M1373" i="2"/>
  <c r="M1372" i="2" s="1"/>
  <c r="M1368" i="2"/>
  <c r="M1367" i="2" s="1"/>
  <c r="M1366" i="2" s="1"/>
  <c r="M1363" i="2"/>
  <c r="M1362" i="2" s="1"/>
  <c r="J1330" i="2"/>
  <c r="M1328" i="2" s="1"/>
  <c r="J1326" i="2"/>
  <c r="J1325" i="2"/>
  <c r="J1324" i="2"/>
  <c r="J1323" i="2"/>
  <c r="J1321" i="2"/>
  <c r="J1320" i="2"/>
  <c r="J1316" i="2"/>
  <c r="J1315" i="2"/>
  <c r="J1313" i="2"/>
  <c r="J1312" i="2"/>
  <c r="J1308" i="2"/>
  <c r="J1307" i="2"/>
  <c r="J1306" i="2"/>
  <c r="J1305" i="2"/>
  <c r="J1297" i="2"/>
  <c r="M1297" i="2" s="1"/>
  <c r="J1295" i="2"/>
  <c r="M1295" i="2" s="1"/>
  <c r="J1293" i="2"/>
  <c r="M1293" i="2" s="1"/>
  <c r="J1291" i="2"/>
  <c r="M1291" i="2" s="1"/>
  <c r="J1290" i="2"/>
  <c r="M1290" i="2" s="1"/>
  <c r="J1288" i="2"/>
  <c r="M1288" i="2" s="1"/>
  <c r="J890" i="2"/>
  <c r="M890" i="2" s="1"/>
  <c r="M886" i="2"/>
  <c r="M885" i="2" s="1"/>
  <c r="M883" i="2"/>
  <c r="M882" i="2" s="1"/>
  <c r="M875" i="2"/>
  <c r="M874" i="2" s="1"/>
  <c r="M879" i="2"/>
  <c r="M878" i="2" s="1"/>
  <c r="M870" i="2"/>
  <c r="M869" i="2" s="1"/>
  <c r="M867" i="2"/>
  <c r="M866" i="2" s="1"/>
  <c r="M864" i="2"/>
  <c r="M859" i="2"/>
  <c r="M858" i="2" s="1"/>
  <c r="M857" i="2" s="1"/>
  <c r="M854" i="2"/>
  <c r="M853" i="2" s="1"/>
  <c r="M850" i="2"/>
  <c r="M849" i="2" s="1"/>
  <c r="M847" i="2"/>
  <c r="M846" i="2" s="1"/>
  <c r="M841" i="2"/>
  <c r="M840" i="2" s="1"/>
  <c r="M838" i="2"/>
  <c r="M837" i="2"/>
  <c r="M836" i="2"/>
  <c r="M835" i="2"/>
  <c r="M830" i="2"/>
  <c r="M829" i="2" s="1"/>
  <c r="M828" i="2" s="1"/>
  <c r="M825" i="2"/>
  <c r="M824" i="2" s="1"/>
  <c r="M822" i="2"/>
  <c r="M821" i="2"/>
  <c r="M820" i="2"/>
  <c r="M819" i="2"/>
  <c r="M814" i="2"/>
  <c r="M813" i="2" s="1"/>
  <c r="M810" i="2"/>
  <c r="M809" i="2" s="1"/>
  <c r="M805" i="2"/>
  <c r="M804" i="2"/>
  <c r="M801" i="2"/>
  <c r="M800" i="2"/>
  <c r="M799" i="2"/>
  <c r="M798" i="2"/>
  <c r="M792" i="2"/>
  <c r="M791" i="2" s="1"/>
  <c r="M790" i="2" s="1"/>
  <c r="M773" i="2"/>
  <c r="M772" i="2"/>
  <c r="M769" i="2"/>
  <c r="M768" i="2" s="1"/>
  <c r="M766" i="2"/>
  <c r="M765" i="2" s="1"/>
  <c r="D37" i="6" l="1"/>
  <c r="E37" i="6" s="1"/>
  <c r="F37" i="6" s="1"/>
  <c r="I37" i="6" s="1"/>
  <c r="K34" i="6"/>
  <c r="M1417" i="2"/>
  <c r="M1401" i="2"/>
  <c r="M1428" i="2"/>
  <c r="M746" i="2"/>
  <c r="M726" i="2"/>
  <c r="M1406" i="2"/>
  <c r="M712" i="2"/>
  <c r="M692" i="2"/>
  <c r="M670" i="2"/>
  <c r="M1332" i="2"/>
  <c r="M1380" i="2"/>
  <c r="M1433" i="2"/>
  <c r="M635" i="2"/>
  <c r="M1441" i="2"/>
  <c r="M1389" i="2"/>
  <c r="M1413" i="2"/>
  <c r="M1423" i="2"/>
  <c r="M1480" i="2"/>
  <c r="M1479" i="2" s="1"/>
  <c r="M1375" i="2"/>
  <c r="M1394" i="2"/>
  <c r="M1319" i="2"/>
  <c r="M1303" i="2"/>
  <c r="M1310" i="2"/>
  <c r="M1287" i="2"/>
  <c r="M771" i="2"/>
  <c r="M764" i="2" s="1"/>
  <c r="M797" i="2"/>
  <c r="M834" i="2"/>
  <c r="M833" i="2" s="1"/>
  <c r="M845" i="2"/>
  <c r="M863" i="2"/>
  <c r="M803" i="2"/>
  <c r="M818" i="2"/>
  <c r="M817" i="2" s="1"/>
  <c r="M577" i="2"/>
  <c r="M576" i="2" s="1"/>
  <c r="M573" i="2"/>
  <c r="M572" i="2" s="1"/>
  <c r="J534" i="2"/>
  <c r="M534" i="2" s="1"/>
  <c r="M531" i="2" s="1"/>
  <c r="M355" i="2"/>
  <c r="M354" i="2"/>
  <c r="J350" i="2"/>
  <c r="M350" i="2" s="1"/>
  <c r="M345" i="2"/>
  <c r="M344" i="2" s="1"/>
  <c r="M279" i="2"/>
  <c r="M276" i="2"/>
  <c r="M273" i="2"/>
  <c r="M259" i="2"/>
  <c r="M243" i="2"/>
  <c r="M242" i="2" s="1"/>
  <c r="M239" i="2"/>
  <c r="M238" i="2" s="1"/>
  <c r="M216" i="2"/>
  <c r="M215" i="2"/>
  <c r="M214" i="2"/>
  <c r="M210" i="2"/>
  <c r="M209" i="2" s="1"/>
  <c r="M207" i="2"/>
  <c r="M206" i="2"/>
  <c r="M203" i="2"/>
  <c r="M200" i="2"/>
  <c r="M199" i="2"/>
  <c r="M196" i="2"/>
  <c r="M195" i="2"/>
  <c r="M1400" i="2" l="1"/>
  <c r="M691" i="2"/>
  <c r="M725" i="2"/>
  <c r="M1371" i="2"/>
  <c r="M1302" i="2"/>
  <c r="M1385" i="2"/>
  <c r="M1422" i="2"/>
  <c r="M1412" i="2"/>
  <c r="M796" i="2"/>
  <c r="M353" i="2"/>
  <c r="M352" i="2" s="1"/>
  <c r="M193" i="2"/>
  <c r="M212" i="2"/>
  <c r="M617" i="2" l="1"/>
  <c r="M616" i="2"/>
  <c r="M615" i="2"/>
  <c r="M33" i="2"/>
  <c r="M30" i="2"/>
  <c r="M29" i="2"/>
  <c r="M26" i="2"/>
  <c r="J18" i="2"/>
  <c r="M613" i="2" l="1"/>
  <c r="M24" i="2"/>
  <c r="M596" i="2"/>
  <c r="J349" i="2"/>
  <c r="M349" i="2" s="1"/>
  <c r="J348" i="2"/>
  <c r="M348" i="2" s="1"/>
  <c r="M347" i="2" l="1"/>
  <c r="J1271" i="2"/>
  <c r="J1267" i="2"/>
  <c r="K1261" i="2"/>
  <c r="J1258" i="2"/>
  <c r="J1259" i="2"/>
  <c r="J1257" i="2"/>
  <c r="K1253" i="2"/>
  <c r="J1249" i="2"/>
  <c r="M1251" i="2"/>
  <c r="K1246" i="2"/>
  <c r="J1242" i="2"/>
  <c r="M1244" i="2" s="1"/>
  <c r="K1239" i="2"/>
  <c r="J1235" i="2"/>
  <c r="M1237" i="2" s="1"/>
  <c r="K1232" i="2"/>
  <c r="J1229" i="2"/>
  <c r="J1230" i="2"/>
  <c r="J1228" i="2"/>
  <c r="K1225" i="2"/>
  <c r="J1221" i="2"/>
  <c r="M1223" i="2" s="1"/>
  <c r="J1275" i="2" l="1"/>
  <c r="M1259" i="2"/>
  <c r="M1271" i="2"/>
  <c r="M1230" i="2"/>
  <c r="P372" i="2"/>
  <c r="J1215" i="2"/>
  <c r="J1214" i="2"/>
  <c r="J1190" i="2"/>
  <c r="M1196" i="2"/>
  <c r="J1186" i="2"/>
  <c r="J1187" i="2"/>
  <c r="J1185" i="2"/>
  <c r="J1181" i="2"/>
  <c r="J1182" i="2"/>
  <c r="J1180" i="2"/>
  <c r="J1175" i="2"/>
  <c r="J1176" i="2"/>
  <c r="J1177" i="2"/>
  <c r="J1174" i="2"/>
  <c r="J1171" i="2"/>
  <c r="J1169" i="2"/>
  <c r="J1166" i="2"/>
  <c r="J1165" i="2"/>
  <c r="J1164" i="2"/>
  <c r="J1159" i="2"/>
  <c r="J1160" i="2"/>
  <c r="J1161" i="2"/>
  <c r="J1158" i="2"/>
  <c r="J1155" i="2"/>
  <c r="J1154" i="2"/>
  <c r="J1153" i="2"/>
  <c r="J1144" i="2"/>
  <c r="J1143" i="2"/>
  <c r="J1142" i="2"/>
  <c r="J1139" i="2"/>
  <c r="J1138" i="2"/>
  <c r="J1137" i="2"/>
  <c r="J1124" i="2"/>
  <c r="J1134" i="2"/>
  <c r="J1133" i="2"/>
  <c r="J1130" i="2"/>
  <c r="J1129" i="2"/>
  <c r="J1126" i="2"/>
  <c r="M1126" i="2" s="1"/>
  <c r="J1123" i="2"/>
  <c r="J1119" i="2"/>
  <c r="J1118" i="2"/>
  <c r="J1117" i="2"/>
  <c r="M1182" i="2" l="1"/>
  <c r="M1171" i="2"/>
  <c r="M1218" i="2"/>
  <c r="M1130" i="2"/>
  <c r="M1187" i="2"/>
  <c r="M1177" i="2"/>
  <c r="K1214" i="2"/>
  <c r="M1155" i="2"/>
  <c r="M1134" i="2"/>
  <c r="M1166" i="2"/>
  <c r="J1276" i="2"/>
  <c r="M1124" i="2"/>
  <c r="M1144" i="2"/>
  <c r="M1139" i="2"/>
  <c r="M1161" i="2"/>
  <c r="M1120" i="2"/>
  <c r="J1100" i="2"/>
  <c r="M1100" i="2" s="1"/>
  <c r="J1096" i="2"/>
  <c r="J1094" i="2"/>
  <c r="J1088" i="2"/>
  <c r="M1091" i="2" s="1"/>
  <c r="J1082" i="2"/>
  <c r="M1085" i="2" s="1"/>
  <c r="J1076" i="2"/>
  <c r="M1078" i="2" s="1"/>
  <c r="J1072" i="2"/>
  <c r="M1073" i="2" s="1"/>
  <c r="J1063" i="2"/>
  <c r="M1064" i="2" s="1"/>
  <c r="J1057" i="2"/>
  <c r="J1056" i="2"/>
  <c r="J1050" i="2"/>
  <c r="M1051" i="2" s="1"/>
  <c r="M1044" i="2" l="1"/>
  <c r="M1059" i="2"/>
  <c r="M1049" i="2" s="1"/>
  <c r="K1068" i="2" s="1"/>
  <c r="M1150" i="2"/>
  <c r="J1206" i="2" s="1"/>
  <c r="J1207" i="2" s="1"/>
  <c r="M1097" i="2"/>
  <c r="M1070" i="2" s="1"/>
  <c r="M1116" i="2"/>
  <c r="K1148" i="2" l="1"/>
  <c r="K1147" i="2"/>
  <c r="M655" i="2"/>
  <c r="M656" i="2"/>
  <c r="M657" i="2"/>
  <c r="M660" i="2"/>
  <c r="M654" i="2"/>
  <c r="M651" i="2"/>
  <c r="J506" i="2"/>
  <c r="M506" i="2" s="1"/>
  <c r="J512" i="2"/>
  <c r="M512" i="2" s="1"/>
  <c r="J520" i="2"/>
  <c r="M520" i="2" s="1"/>
  <c r="J527" i="2"/>
  <c r="M527" i="2" s="1"/>
  <c r="J525" i="2"/>
  <c r="M525" i="2" s="1"/>
  <c r="J523" i="2"/>
  <c r="M523" i="2" s="1"/>
  <c r="J522" i="2"/>
  <c r="M522" i="2" s="1"/>
  <c r="J519" i="2"/>
  <c r="M519" i="2" s="1"/>
  <c r="J516" i="2"/>
  <c r="M516" i="2" s="1"/>
  <c r="J511" i="2"/>
  <c r="M511" i="2" s="1"/>
  <c r="J508" i="2"/>
  <c r="M508" i="2" s="1"/>
  <c r="J504" i="2"/>
  <c r="M504" i="2" s="1"/>
  <c r="J502" i="2"/>
  <c r="M502" i="2" s="1"/>
  <c r="J495" i="2"/>
  <c r="M495" i="2" s="1"/>
  <c r="J492" i="2"/>
  <c r="M492" i="2" s="1"/>
  <c r="J477" i="2"/>
  <c r="M477" i="2" s="1"/>
  <c r="J476" i="2"/>
  <c r="M476" i="2" s="1"/>
  <c r="J498" i="2"/>
  <c r="M498" i="2" s="1"/>
  <c r="J489" i="2"/>
  <c r="M489" i="2" s="1"/>
  <c r="J487" i="2"/>
  <c r="M487" i="2" s="1"/>
  <c r="J484" i="2"/>
  <c r="M484" i="2" s="1"/>
  <c r="J483" i="2"/>
  <c r="M483" i="2" s="1"/>
  <c r="J482" i="2"/>
  <c r="M482" i="2" s="1"/>
  <c r="J479" i="2"/>
  <c r="M479" i="2" s="1"/>
  <c r="J471" i="2"/>
  <c r="M471" i="2" s="1"/>
  <c r="J472" i="2"/>
  <c r="M472" i="2" s="1"/>
  <c r="J475" i="2"/>
  <c r="M475" i="2" s="1"/>
  <c r="J462" i="2"/>
  <c r="M462" i="2" s="1"/>
  <c r="J465" i="2"/>
  <c r="M465" i="2" s="1"/>
  <c r="J468" i="2"/>
  <c r="M468" i="2" s="1"/>
  <c r="J461" i="2"/>
  <c r="M461" i="2" s="1"/>
  <c r="J457" i="2"/>
  <c r="M457" i="2" s="1"/>
  <c r="J458" i="2"/>
  <c r="M458" i="2" s="1"/>
  <c r="J456" i="2"/>
  <c r="M456" i="2" s="1"/>
  <c r="J453" i="2"/>
  <c r="M453" i="2" s="1"/>
  <c r="J450" i="2"/>
  <c r="M450" i="2" s="1"/>
  <c r="J447" i="2"/>
  <c r="M447" i="2" s="1"/>
  <c r="J446" i="2"/>
  <c r="M446" i="2" s="1"/>
  <c r="J443" i="2"/>
  <c r="M443" i="2" s="1"/>
  <c r="J442" i="2"/>
  <c r="M442" i="2" s="1"/>
  <c r="J439" i="2"/>
  <c r="M439" i="2" s="1"/>
  <c r="J438" i="2"/>
  <c r="M438" i="2" s="1"/>
  <c r="J434" i="2"/>
  <c r="M434" i="2" s="1"/>
  <c r="J362" i="2"/>
  <c r="M362" i="2" s="1"/>
  <c r="M315" i="2"/>
  <c r="J334" i="2"/>
  <c r="M334" i="2" s="1"/>
  <c r="J329" i="2"/>
  <c r="M329" i="2" s="1"/>
  <c r="J328" i="2"/>
  <c r="M328" i="2" s="1"/>
  <c r="J336" i="2"/>
  <c r="M336" i="2" s="1"/>
  <c r="J337" i="2"/>
  <c r="M337" i="2" s="1"/>
  <c r="J338" i="2"/>
  <c r="M338" i="2" s="1"/>
  <c r="J339" i="2"/>
  <c r="M339" i="2" s="1"/>
  <c r="J340" i="2"/>
  <c r="M340" i="2" s="1"/>
  <c r="J341" i="2"/>
  <c r="M341" i="2" s="1"/>
  <c r="J335" i="2"/>
  <c r="M335" i="2" s="1"/>
  <c r="J333" i="2"/>
  <c r="M333" i="2" s="1"/>
  <c r="J330" i="2"/>
  <c r="M330" i="2" s="1"/>
  <c r="J327" i="2"/>
  <c r="M327" i="2" s="1"/>
  <c r="J324" i="2"/>
  <c r="M324" i="2" s="1"/>
  <c r="J323" i="2"/>
  <c r="M323" i="2" s="1"/>
  <c r="J322" i="2"/>
  <c r="M322" i="2" s="1"/>
  <c r="J321" i="2"/>
  <c r="M321" i="2" s="1"/>
  <c r="J320" i="2"/>
  <c r="M320" i="2" s="1"/>
  <c r="J319" i="2"/>
  <c r="M319" i="2" s="1"/>
  <c r="J318" i="2"/>
  <c r="M318" i="2" s="1"/>
  <c r="M167" i="2"/>
  <c r="M169" i="2"/>
  <c r="M171" i="2"/>
  <c r="M175" i="2"/>
  <c r="M177" i="2"/>
  <c r="M180" i="2"/>
  <c r="M888" i="2"/>
  <c r="M500" i="2" l="1"/>
  <c r="M649" i="2"/>
  <c r="M312" i="2"/>
  <c r="M668" i="2"/>
  <c r="M666" i="2" s="1"/>
  <c r="M663" i="2"/>
  <c r="M662" i="2" s="1"/>
  <c r="M610" i="2"/>
  <c r="M607" i="2"/>
  <c r="M606" i="2"/>
  <c r="M593" i="2"/>
  <c r="M592" i="2"/>
  <c r="M591" i="2"/>
  <c r="M588" i="2"/>
  <c r="M587" i="2"/>
  <c r="M582" i="2"/>
  <c r="M583" i="2"/>
  <c r="M584" i="2"/>
  <c r="M580" i="2" l="1"/>
  <c r="M604" i="2"/>
  <c r="M435" i="2"/>
  <c r="M431" i="2" s="1"/>
  <c r="M1280" i="2" s="1"/>
  <c r="M424" i="2"/>
  <c r="M413" i="2"/>
  <c r="M408" i="2"/>
  <c r="M405" i="2"/>
  <c r="M399" i="2"/>
  <c r="M395" i="2"/>
  <c r="M392" i="2"/>
  <c r="M389" i="2"/>
  <c r="M380" i="2"/>
  <c r="M377" i="2"/>
  <c r="M367" i="2"/>
  <c r="M421" i="2"/>
  <c r="M418" i="2"/>
  <c r="M415" i="2"/>
  <c r="M410" i="2"/>
  <c r="M409" i="2"/>
  <c r="M403" i="2"/>
  <c r="M402" i="2"/>
  <c r="M398" i="2"/>
  <c r="M388" i="2"/>
  <c r="M385" i="2"/>
  <c r="M384" i="2"/>
  <c r="M383" i="2"/>
  <c r="M82" i="2"/>
  <c r="M374" i="2"/>
  <c r="M373" i="2"/>
  <c r="M371" i="2"/>
  <c r="M370" i="2"/>
  <c r="M366" i="2"/>
  <c r="M363" i="2"/>
  <c r="M1284" i="2" l="1"/>
  <c r="M1283" i="2" s="1"/>
  <c r="M1279" i="2"/>
  <c r="M1045" i="2"/>
  <c r="M1043" i="2" s="1"/>
  <c r="M359" i="2"/>
  <c r="J428" i="2" s="1"/>
  <c r="M428" i="2" s="1"/>
  <c r="M427" i="2" s="1"/>
  <c r="M306" i="2"/>
  <c r="M304" i="2" s="1"/>
  <c r="M286" i="2"/>
  <c r="M285" i="2" s="1"/>
  <c r="M283" i="2"/>
  <c r="M282" i="2" s="1"/>
  <c r="M270" i="2"/>
  <c r="M269" i="2" s="1"/>
  <c r="M266" i="2"/>
  <c r="M265" i="2" s="1"/>
  <c r="M263" i="2"/>
  <c r="M262" i="2" s="1"/>
  <c r="M256" i="2"/>
  <c r="M255" i="2" s="1"/>
  <c r="M253" i="2"/>
  <c r="M252" i="2" s="1"/>
  <c r="M250" i="2"/>
  <c r="M249" i="2" s="1"/>
  <c r="M247" i="2"/>
  <c r="M246" i="2" s="1"/>
  <c r="M236" i="2"/>
  <c r="M235" i="2" s="1"/>
  <c r="M232" i="2"/>
  <c r="M231" i="2"/>
  <c r="M230" i="2"/>
  <c r="M229" i="2"/>
  <c r="M228" i="2"/>
  <c r="M220" i="2"/>
  <c r="M223" i="2"/>
  <c r="M218" i="2" l="1"/>
  <c r="M227" i="2"/>
  <c r="M225" i="2" s="1"/>
  <c r="M191" i="2"/>
  <c r="M190" i="2"/>
  <c r="M147" i="2"/>
  <c r="M145" i="2"/>
  <c r="M143" i="2"/>
  <c r="M141" i="2"/>
  <c r="M140" i="2"/>
  <c r="M138" i="2"/>
  <c r="M137" i="2"/>
  <c r="M135" i="2"/>
  <c r="M134" i="2"/>
  <c r="M133" i="2"/>
  <c r="M131" i="2"/>
  <c r="M130" i="2"/>
  <c r="M129" i="2"/>
  <c r="M127" i="2"/>
  <c r="M126" i="2"/>
  <c r="M125" i="2"/>
  <c r="M124" i="2"/>
  <c r="M120" i="2"/>
  <c r="M119" i="2"/>
  <c r="M118" i="2"/>
  <c r="M117" i="2"/>
  <c r="M116" i="2"/>
  <c r="M114" i="2"/>
  <c r="M112" i="2"/>
  <c r="M110" i="2"/>
  <c r="M108" i="2"/>
  <c r="M107" i="2"/>
  <c r="M105" i="2"/>
  <c r="M103" i="2"/>
  <c r="M102" i="2"/>
  <c r="M98" i="2"/>
  <c r="M97" i="2"/>
  <c r="M96" i="2"/>
  <c r="M95" i="2"/>
  <c r="M188" i="2" l="1"/>
  <c r="M93" i="2"/>
  <c r="M186" i="2"/>
  <c r="M163" i="2" l="1"/>
  <c r="M162" i="2" s="1"/>
  <c r="M36" i="2"/>
  <c r="M160" i="2"/>
  <c r="M157" i="2"/>
  <c r="M154" i="2"/>
  <c r="M151" i="2"/>
  <c r="M49" i="2"/>
  <c r="M66" i="2"/>
  <c r="M91" i="2"/>
  <c r="M90" i="2" s="1"/>
  <c r="M88" i="2"/>
  <c r="M87" i="2" s="1"/>
  <c r="M74" i="2"/>
  <c r="M73" i="2"/>
  <c r="M71" i="2"/>
  <c r="M70" i="2"/>
  <c r="M149" i="2" l="1"/>
  <c r="M68" i="2"/>
  <c r="M64" i="2"/>
  <c r="M65" i="2"/>
  <c r="M63" i="2"/>
  <c r="M60" i="2"/>
  <c r="M59" i="2"/>
  <c r="M54" i="2"/>
  <c r="M55" i="2"/>
  <c r="M56" i="2"/>
  <c r="M53" i="2"/>
  <c r="M185" i="2"/>
  <c r="M184" i="2"/>
  <c r="M46" i="2"/>
  <c r="M42" i="2"/>
  <c r="M39" i="2"/>
  <c r="M85" i="2"/>
  <c r="M81" i="2"/>
  <c r="M78" i="2"/>
  <c r="M21" i="2"/>
  <c r="M20" i="2" s="1"/>
  <c r="M18" i="2"/>
  <c r="M17" i="2" s="1"/>
  <c r="M76" i="2" l="1"/>
  <c r="M51" i="2"/>
  <c r="M182" i="2"/>
  <c r="M35" i="2"/>
  <c r="M44" i="2"/>
</calcChain>
</file>

<file path=xl/sharedStrings.xml><?xml version="1.0" encoding="utf-8"?>
<sst xmlns="http://schemas.openxmlformats.org/spreadsheetml/2006/main" count="2434" uniqueCount="1177">
  <si>
    <t>ITEM</t>
  </si>
  <si>
    <t>DESCRIÇÃO DOS SERVIÇOS</t>
  </si>
  <si>
    <t>1.0</t>
  </si>
  <si>
    <t>SERVIÇOS PRELIMINARES</t>
  </si>
  <si>
    <t>2.0</t>
  </si>
  <si>
    <t>DEMOLIÇÕES E RETIRADAS</t>
  </si>
  <si>
    <t>3.0</t>
  </si>
  <si>
    <t>TRANSPORTE DE MATERIAIS</t>
  </si>
  <si>
    <t>4.0</t>
  </si>
  <si>
    <t>5.0</t>
  </si>
  <si>
    <t>COBERTURA</t>
  </si>
  <si>
    <t>7.0</t>
  </si>
  <si>
    <t>9.0</t>
  </si>
  <si>
    <t>10.0</t>
  </si>
  <si>
    <t>05.001.0134-0</t>
  </si>
  <si>
    <t>Arrancamento de portas, janelas e caixilhos de ar condicionado ou outros</t>
  </si>
  <si>
    <t>un</t>
  </si>
  <si>
    <t>m²</t>
  </si>
  <si>
    <t>DISCRIMINAÇÃO DOS SERVIÇOS</t>
  </si>
  <si>
    <t xml:space="preserve">UN </t>
  </si>
  <si>
    <t>QUANT. (un)</t>
  </si>
  <si>
    <t>COMP. (m)</t>
  </si>
  <si>
    <t>PERÍM. (m)</t>
  </si>
  <si>
    <t>LARG. (m)</t>
  </si>
  <si>
    <t>ALT. (m)</t>
  </si>
  <si>
    <t>ÁREA (m²)</t>
  </si>
  <si>
    <t>PESO (kg/m²)</t>
  </si>
  <si>
    <t>COEF.</t>
  </si>
  <si>
    <t>TOTAL</t>
  </si>
  <si>
    <t>02.020.0001-0</t>
  </si>
  <si>
    <t>02.002.0005-0</t>
  </si>
  <si>
    <t>05.001.0008-0</t>
  </si>
  <si>
    <t>Demolição de revestimento em argamassa de cimento e areia em parede</t>
  </si>
  <si>
    <t>05.001.0009-0</t>
  </si>
  <si>
    <t>05.001.0014-0</t>
  </si>
  <si>
    <t>05.001.0015-0</t>
  </si>
  <si>
    <t>05.001.0020-0</t>
  </si>
  <si>
    <t>05.001.0023-0</t>
  </si>
  <si>
    <t>m³</t>
  </si>
  <si>
    <t>05.001.0055-0</t>
  </si>
  <si>
    <t>Remoção de forro de estuque, gesso, placas prensadas e semelhantes</t>
  </si>
  <si>
    <t>05.001.0076-0</t>
  </si>
  <si>
    <t>Remoção de divisórias de madeira, pré-moldadas, prensadas ou semelhantes</t>
  </si>
  <si>
    <t>05.001.0078-0</t>
  </si>
  <si>
    <t>Remoção de rodapés de madeira, cerâmica ou semelhante</t>
  </si>
  <si>
    <t>m</t>
  </si>
  <si>
    <t>05.001.0084-0</t>
  </si>
  <si>
    <t>Remoção de piso de mármore ou granito</t>
  </si>
  <si>
    <t>05.001.0145-0</t>
  </si>
  <si>
    <t>Arrancamento de aparelhos sanitários</t>
  </si>
  <si>
    <t>05.001.0146-0</t>
  </si>
  <si>
    <t>Arrancamento de bancada de pia/lavatório ou banca seca de até 1,00m de altura e até 0,80m de largura</t>
  </si>
  <si>
    <t>05.001.0170-0</t>
  </si>
  <si>
    <t>05.001.0300-0</t>
  </si>
  <si>
    <t>Calha fechada, de tábuas de madeira de 3ª, com a seção de 0,45 x 0,45m, para descida de escombros, com colocação</t>
  </si>
  <si>
    <t>05.001.0450-0</t>
  </si>
  <si>
    <t>05.002.0065-0</t>
  </si>
  <si>
    <t>Demolição e remoção de estruturas metálicas treliçadas de vergalhões e/ou perfis leves de aço, medidas pelo peso removido</t>
  </si>
  <si>
    <t>kg</t>
  </si>
  <si>
    <t>ANDAIME</t>
  </si>
  <si>
    <t>05.006.0001-1</t>
  </si>
  <si>
    <t>m² x mês</t>
  </si>
  <si>
    <t>04.020.0122-0</t>
  </si>
  <si>
    <t>m² x km</t>
  </si>
  <si>
    <t>04.021.0010-0</t>
  </si>
  <si>
    <t>05.005.0012-1</t>
  </si>
  <si>
    <t>05.008.0001-0</t>
  </si>
  <si>
    <t>Montagem e desmontagem de andaime com elementos tubulares, considerando-se a área vertical recoberta</t>
  </si>
  <si>
    <t>05.008.0004-0</t>
  </si>
  <si>
    <t>Montagem e desmontagem de balancim (cadeirinha).Custo por balancim</t>
  </si>
  <si>
    <t>05.001.0080-0</t>
  </si>
  <si>
    <t>05.001.0027-0</t>
  </si>
  <si>
    <t>FUNDAÇÃO</t>
  </si>
  <si>
    <t>11.003.0002-0</t>
  </si>
  <si>
    <t>11.013.0003-1</t>
  </si>
  <si>
    <t>Vergas de concreto armado para alvenaria, com aproveitamento da madeira por 10 vezes</t>
  </si>
  <si>
    <t>ESTRUTURA</t>
  </si>
  <si>
    <t>11.013.0070-1</t>
  </si>
  <si>
    <t>6.0</t>
  </si>
  <si>
    <t>11.004.0053-1</t>
  </si>
  <si>
    <t>Escoramento de formas de moldagem de peças de concreto em vigas isoladas e semelhantes, até 5,00m de pé direito, e até 60 cm de altura, com madeira de 3ª, empregado 2 vezes, medida pela área de projeção lateral de escoramento (comprimento da viga vezes altura do escoramento até o fundo da mesma)</t>
  </si>
  <si>
    <t>ALVENARIA E DIVISÓRIA</t>
  </si>
  <si>
    <t>12.002.0080-0</t>
  </si>
  <si>
    <t>Aperto de alvenaria sob vigas ou tetos, executada com tijolos maciços de 7 x 10 x 20cm inclinados, assentes com argamassa de cimento e saibro, traço 1:6, em paredes de uma vez (0,20m)</t>
  </si>
  <si>
    <t>Alvenaria de tijolos cerâmicos furados 10 x 20 x 20cm, assentes com argamassa de cimento e saibro, no traço 1:8, em paredes de uma vez (0,20m), com vãos ou arestas, de 3,00 a 4,50m de altura e medida pela área real</t>
  </si>
  <si>
    <t>12.003.0070-0</t>
  </si>
  <si>
    <t>12.016.0004-0</t>
  </si>
  <si>
    <t>Parede de Drywall com espessura de 73mm, estruturada com montantes simples autoportantes de 48mm, fixados a guias horizontais de 48mm, ambos de aço galvanizado com espessura de 0,5mm, com duas chapas de gesso acartonado tipo ST (standard), espessura de 12,5mm, largura de 1200mm, borda rebaixada, fixada aos montantes por meio de parafusos, com tratamento de juntas com massa e fita para uniformização da superfície das chapas de gesso acartonado. Aplicação em áreas secas. FORNECIMENTO e COLOCAÇÃO</t>
  </si>
  <si>
    <t>13.001.0010-1</t>
  </si>
  <si>
    <t>Chapisco em superfície de concreto ou alvenaria, com argamassa de cimento e areia, no traço 1:3, espessura de 9mm</t>
  </si>
  <si>
    <t>13.001.0041-0</t>
  </si>
  <si>
    <t>13.008.0010-0</t>
  </si>
  <si>
    <t>13.030.0200-0</t>
  </si>
  <si>
    <t>13.180.0015-1</t>
  </si>
  <si>
    <t>Forro falso de gesso, com placas pré-moldadas, de 60 x 60cm, de encaixe, presas com 4 tirantes de arame e rejuntadas. FORNECIMENTO e COLOCAÇÃO</t>
  </si>
  <si>
    <t>13.330.0075-0</t>
  </si>
  <si>
    <t>Revestimento de piso com ladrilho cerâmico, antiderrapante, 40 x 40cm, sujeito a tráfego intenso, resistência a abrasão P.E.I.-IV, assentes em superfície com nata de cimento sobre argamassa de cimento, areia e saibro, no traço 1:3:3, rejuntamento com cimento branco e corante</t>
  </si>
  <si>
    <t>13.330.0100-0</t>
  </si>
  <si>
    <t>Rodapé com ladrilho cerâmico, com 7,5 a 10cm de altura, assentes conforme item 13.025.0016</t>
  </si>
  <si>
    <t>13.348.0050-0</t>
  </si>
  <si>
    <t>Peitoril em granito cinza andorinha, espessura de 2cm, largura 15 a 18cm, assentado com nata de cimento sobre argamassa de cimento, saibro e areia, no traço 1:3:3 e rejuntamento com cimento branco</t>
  </si>
  <si>
    <t>13.348.0070-0</t>
  </si>
  <si>
    <t>Soleira em granito cinza andorinha, espessura de 3cm, com 2 polimentos, largura de 13cm, assentado com argamassa de cimento, saibro e areia, no traço 1:2:2, e rejuntamento com cimento branco e corante</t>
  </si>
  <si>
    <t>ESQUADRIAS</t>
  </si>
  <si>
    <t>14.003.0062-0</t>
  </si>
  <si>
    <t>Janela de alumínio anodizado ao natural, tipo pivotante, com painel pivotante vertical, em perfis série 28. FORNECIMENTO e COLOCAÇÃO. Anodizado em bronze ou preto</t>
  </si>
  <si>
    <t>REVESTIMENTO DE PAREDES, TETOS E PISOS</t>
  </si>
  <si>
    <t>15.004.0175-1</t>
  </si>
  <si>
    <t>Ralo sifonado de PVC (150 x 185) x 75mm rígido em pavimento elevado, com saída de 75mm soldável, grelha redonda e porta-grelha, compreendendo:  3,00m de tubo de PVC de 75mm e sua ligação ao ramal de queda e ventilação.  FORNECIMENTO e INSTALAÇÃO</t>
  </si>
  <si>
    <t>15.004.0180-0</t>
  </si>
  <si>
    <t>Ralo sifonado de PVC rígido (150 x 185) x 75mm, em pavimento térreo, com saída de 75mm, grelha redonda e porta-grelha, compreendendo:  3,00m de tubo de PVC de 75mm e sua ligação ao ramal de ventilação.  FORNECIMENTO e INSTALAÇÃO</t>
  </si>
  <si>
    <t>15.004.0176-0</t>
  </si>
  <si>
    <t>Ralo sifonado de PVC rígido (100 x 100) x 50mm, em pavimento elevado, com tampa cega, com 1 entrada de 40mm e saída de 50mm, compreendendo:  2,00m de tubo de PVC de 50mm soldável, 1,00m de tubo de PVC de 40mm e sua ligação ao ramal de queda e ventilação.  FORNECIMENTO e INSTALAÇÃO</t>
  </si>
  <si>
    <t>8.0</t>
  </si>
  <si>
    <t>INSTALAÇÕES HIDROSSANITÁRIAS</t>
  </si>
  <si>
    <t>15.003.0370-0</t>
  </si>
  <si>
    <t>Fixação através de pino cravado com pistola e fita metálica recartilhada, de tubulações com diâmetros internos variáveis de 1/2” a 4”, compondo-se de fita de 17mm de largura e 0,50m de comprimento e conjunto com cursor e suporte “Y” em caixa de 25 peças (sistema de suspensão leve, carga de ruptura 120kg).  Utilização:  instalações aparentes de água, esgoto e eletricidade</t>
  </si>
  <si>
    <t>15.004.0102-1</t>
  </si>
  <si>
    <t>15.004.0063-0</t>
  </si>
  <si>
    <t>15.004.0060-1</t>
  </si>
  <si>
    <t>15.004.0070-0</t>
  </si>
  <si>
    <t>11.016.0003-0</t>
  </si>
  <si>
    <t>16.020.0001-0</t>
  </si>
  <si>
    <t>PINTURA</t>
  </si>
  <si>
    <t>11.0</t>
  </si>
  <si>
    <t>12.0</t>
  </si>
  <si>
    <t>13.0</t>
  </si>
  <si>
    <t>LOUÇAS E METAIS</t>
  </si>
  <si>
    <t>16.005.0008-0</t>
  </si>
  <si>
    <t>Cumeeira de alumínio, com espessura de 0,8mm, 0,30m de aba para cada lado, para telhas trapezoidais. FORNECIMENTO e COLOCAÇÃO</t>
  </si>
  <si>
    <t>16.011.0030-0</t>
  </si>
  <si>
    <t>16.012.0005-0</t>
  </si>
  <si>
    <t>14.0</t>
  </si>
  <si>
    <t>ELEVADOR</t>
  </si>
  <si>
    <t>17.017.0320-0</t>
  </si>
  <si>
    <t>Pintura interna ou externa sobre ferro, com esmalte sintético brilhante ou acetinado após lixamento, limpeza, desengorduramento, uma demão de fundo anti corrosivo na cor laranja de secagem rápida e duas demãos de acabamento</t>
  </si>
  <si>
    <t>17.018.0010-0</t>
  </si>
  <si>
    <t>17.018.0031-0</t>
  </si>
  <si>
    <t>17.020.0010-0</t>
  </si>
  <si>
    <t>18.002.0014-0</t>
  </si>
  <si>
    <t>18.002.0085-0</t>
  </si>
  <si>
    <t>18.002.0090-0</t>
  </si>
  <si>
    <t>18.003.0003-0</t>
  </si>
  <si>
    <t>Válvula de descarga de 1.1/2”, registro integrado, sistema hidromecânico (isenta de golpe de aríete), corpo em latão, canopla e botão em metal cromado, de embutir. FORNECIMENTO</t>
  </si>
  <si>
    <t>18.009.0058-0</t>
  </si>
  <si>
    <t>Torneira para pia ou tanque, 1158 de 1/2” x 18cm aproximadamente, em metal cromado. FORNECIMENTO</t>
  </si>
  <si>
    <t>18.016.0105-0</t>
  </si>
  <si>
    <t>Barra de apoio, para pessoas com necessidades específicas, em tubo de 1.1/4” de aço inoxidável, AISI-304, liga 18.8, com 50cm. FORNECIMENTO e COLOCAÇÃO</t>
  </si>
  <si>
    <t>18.016.0106-0</t>
  </si>
  <si>
    <t>18.040.0010-0</t>
  </si>
  <si>
    <t>Subsolo</t>
  </si>
  <si>
    <t>Térreo</t>
  </si>
  <si>
    <t>1º Pavimento</t>
  </si>
  <si>
    <t xml:space="preserve">1,35 + 3,00 + 2,00 + 2,00 + 0,50 + 9,00 + 2,00 = 19,85 </t>
  </si>
  <si>
    <t xml:space="preserve"> </t>
  </si>
  <si>
    <t>(2,20 + 1,30) x 2,00 + (1,35 x 3,00) + (1,20 x 2,00) = 13,45</t>
  </si>
  <si>
    <t>Térreo (Retirado de Projeto)</t>
  </si>
  <si>
    <t xml:space="preserve"> 1º Pavimento (Retirado de Projeto)</t>
  </si>
  <si>
    <t>Sala 05</t>
  </si>
  <si>
    <t>Sala 04</t>
  </si>
  <si>
    <t>Hall</t>
  </si>
  <si>
    <t>4 Banheiros</t>
  </si>
  <si>
    <t>1,30 + 1,65 + 1,65 + 0,50 + 1,50 + 2,80 + 0,30  = 9,70</t>
  </si>
  <si>
    <t>Mezanino 01</t>
  </si>
  <si>
    <t>Mezanino 02</t>
  </si>
  <si>
    <t>Copa</t>
  </si>
  <si>
    <t>Sala 11</t>
  </si>
  <si>
    <t>Banheiro/DML</t>
  </si>
  <si>
    <t>Mezanino (Retirado de Projeto)</t>
  </si>
  <si>
    <t>Canteiro</t>
  </si>
  <si>
    <t>Banheiros</t>
  </si>
  <si>
    <t>Cozinha</t>
  </si>
  <si>
    <t>05.001.0147-0</t>
  </si>
  <si>
    <t>Arrancamento de grades, gradis, alambrados, cercas e portões</t>
  </si>
  <si>
    <t>Cobertura</t>
  </si>
  <si>
    <t>Sanitários Masculino/Feminino</t>
  </si>
  <si>
    <t>1,20 + 1,30 + 1,20 + 1,90 x 2,00 + 1,80 + (1,80 + 2,30) x 2 x 2 = 25,70</t>
  </si>
  <si>
    <t xml:space="preserve">2,50 + 2 x 1,50 + 2,68 + 2,70 + 2,94 + 0,70 + 2,28 = 16,80 m </t>
  </si>
  <si>
    <t>(Painel de vidro)</t>
  </si>
  <si>
    <t>Mezanino</t>
  </si>
  <si>
    <t>(Acrílico)</t>
  </si>
  <si>
    <t>1,30 + 1,80 + 0,30 + 0,85 = 4,25</t>
  </si>
  <si>
    <t>4,32 + 3,35 + 1,21 + 6,80 + 2,54 + 2,80 + 2,80 + 0,85 = 24,67</t>
  </si>
  <si>
    <t>5,50 + 2,10 + 0,50 + 1,50 + 2,60 + 0,40 + 3,50 + = 16,10m</t>
  </si>
  <si>
    <t>4,80 + 3,50 + 3,50 + 0,50 + 4,30 + 0,50 = 17,10m</t>
  </si>
  <si>
    <t>2,20 + 1,60 + 1,60 = 5,40m</t>
  </si>
  <si>
    <t>(5,55 + 2,50) x 2 = 16,10m</t>
  </si>
  <si>
    <t>(5,01 + 2,50) x 2 = 15,02m</t>
  </si>
  <si>
    <t>Subsolo (Checagem de esgoto no banheiro)</t>
  </si>
  <si>
    <t>Janelas</t>
  </si>
  <si>
    <t>Portas</t>
  </si>
  <si>
    <t>2 x 1,20 + 2,14 = 4,54m</t>
  </si>
  <si>
    <t>Remoção de louças, de forma manual, sem reaproveitamento. af_12/2017</t>
  </si>
  <si>
    <t>(2,20 + 1,30) x 2,00 + (1,35 x 4,00) + (1,20 x 4,00) = 17,20m</t>
  </si>
  <si>
    <t>(1,20 + 1,00 + 1,00) + ((2,80 + 1,80) x 4) + (1,80 x 3) = 27,00m</t>
  </si>
  <si>
    <t>Sala 01 (Retirado do Projeto)</t>
  </si>
  <si>
    <t>Sala 02 (Retirado do Projeto)</t>
  </si>
  <si>
    <t>Sala 03 (Retirado do Projeto)</t>
  </si>
  <si>
    <t>Circulação (Retirado do Projeto)</t>
  </si>
  <si>
    <t>Fechamento Lateral (Mezanino 01)</t>
  </si>
  <si>
    <t xml:space="preserve">Perímetro = 5,01 + 2,70 + 2,70 = 10,41 m </t>
  </si>
  <si>
    <t>Fechamento Lateral (Mezanino 02)</t>
  </si>
  <si>
    <t xml:space="preserve">Perímetro = 3,30 + 0,60 + 2,70 + 2,04 = 8,64 m </t>
  </si>
  <si>
    <t>Mezanino 03</t>
  </si>
  <si>
    <t>Fechamento Lateral (Mezanino 03)</t>
  </si>
  <si>
    <t xml:space="preserve">Perímetro = 13,19 + 13,19 = 26,38 m </t>
  </si>
  <si>
    <t>Circulação de Entrada</t>
  </si>
  <si>
    <t>(b x h) / 2 = (0,60 x 0,60) / 2 = 0,18 m²</t>
  </si>
  <si>
    <t>((B + b) / 2) x h = ((1,75 + 2,00) / 2) x 4,20 = 7,88 m²</t>
  </si>
  <si>
    <t>Auditório</t>
  </si>
  <si>
    <t>Fechamento Lateral (Auditório)</t>
  </si>
  <si>
    <t xml:space="preserve">Perímetro = 1,00 + 8,65 + 7,95 + 0,99 + 1,00 = 19,59 m </t>
  </si>
  <si>
    <t>Banheiro Feminino</t>
  </si>
  <si>
    <t>Banheiro Masculino</t>
  </si>
  <si>
    <t>Prisma</t>
  </si>
  <si>
    <t>Fechamento Lateral (Prisma)</t>
  </si>
  <si>
    <t xml:space="preserve">Perímetro = 4,92 + 9,06 + 9,06 = 23,04 m </t>
  </si>
  <si>
    <t>Salão (Retirado do Projeto)</t>
  </si>
  <si>
    <t>Sala 13</t>
  </si>
  <si>
    <t>((B + b) / 2) x h = ((2,90 + 2,40) / 2) x 0,60 = 1,59 m²</t>
  </si>
  <si>
    <t>((B + b) / 2) x h = ((4,55 + 3,60) / 2) x 0,60 = 2,44 m²</t>
  </si>
  <si>
    <t>Sala 12 e 11</t>
  </si>
  <si>
    <t>((B + b) / 2) x h = ((4,80 + 4,05) / 2) x 0,60 = 2,66 m²</t>
  </si>
  <si>
    <t>Sala 10</t>
  </si>
  <si>
    <t>((B + b) / 2) x h = ((4,13 + 3,80) / 2) x 0,60 = 2,38 m²</t>
  </si>
  <si>
    <t>Fechamento Lateral (Salas 13, 12, 11 e 10)</t>
  </si>
  <si>
    <t xml:space="preserve">Perímetro = 2,90 + 4,55 + 4,80 + 4,13 = 16,38 m </t>
  </si>
  <si>
    <t>Perímetro = 8,65 + 0,40 + 2,85 + 4,00 + 0,60 + 12,60 + 2,45 + 0,40 + 1,30 + 2,25 + 1,00 = 36,50 m</t>
  </si>
  <si>
    <t>Área do piso (Retirado do Projeto)</t>
  </si>
  <si>
    <t>Fechamento de carpete do palco</t>
  </si>
  <si>
    <t xml:space="preserve">1,80 + 2 x 1,20 = 4,20m </t>
  </si>
  <si>
    <t>Fachada</t>
  </si>
  <si>
    <t>3,05 + 4,23 = 7,28m</t>
  </si>
  <si>
    <t>(4,23 x 2,00) / 2,00 = 4,23m²</t>
  </si>
  <si>
    <t>4,30 + 5,60 + 5,00 = 14,90m</t>
  </si>
  <si>
    <t>Porta Pantográfica</t>
  </si>
  <si>
    <t>05.007.0015-0</t>
  </si>
  <si>
    <t>Aluguel de balancim individual (cadeirinha), inclusive kit de segurança completo, exclusive montagem e desmontagem (vide item 05.008.0004)</t>
  </si>
  <si>
    <t>un x mês</t>
  </si>
  <si>
    <t>1 unidade x 2 meses</t>
  </si>
  <si>
    <t>Fio de aço CA-60, redondo, com saliência ou mossa, coeficiente de conformação superficial mínimo (aderência) igual a 1,5, diâmetro entre 4,2 a 5mm, destinado à armadura de peças de concreto armado, 10% de perdas de pontas e arame 18. FORNECIMENTO</t>
  </si>
  <si>
    <t>11.009.0011-0</t>
  </si>
  <si>
    <t>Corte, dobragem, montagem e colocação de ferragens nas formas, aço CA-60, em fio redondo com diâmetro de 4,2 a 5mm</t>
  </si>
  <si>
    <t>11.011.0027-0</t>
  </si>
  <si>
    <t>Radier (Rampa de Acessibilidade)</t>
  </si>
  <si>
    <t>(((B + b) x h) / 2) - Área do Elevador = (((4,60 + 2,20) x 2,70) / 2) - 3,35 = 5,83 m²</t>
  </si>
  <si>
    <t>Laje 1º Pavimento (Área do Elevador)</t>
  </si>
  <si>
    <t>15.0</t>
  </si>
  <si>
    <t>Fechamento de Porta - Sanitário 01</t>
  </si>
  <si>
    <t>Fechamento da janela - Sala 05</t>
  </si>
  <si>
    <t>Fechamento de Porta - Entrada Sala 05 e 04</t>
  </si>
  <si>
    <t>Fechamento da janela - Sala 04</t>
  </si>
  <si>
    <t>Sala 02</t>
  </si>
  <si>
    <t>2,18 + 1,74 + 1,27 + 0,43 + 0,43 + 0,62 = 6,67m</t>
  </si>
  <si>
    <t>Fechamento da janela - Mezanino 02</t>
  </si>
  <si>
    <t>Fechamento da janela - Mezanino 01</t>
  </si>
  <si>
    <t>Fechamento da janela - Mezanino 03</t>
  </si>
  <si>
    <t>Fechamento da janela - Sala 13</t>
  </si>
  <si>
    <t>Fechamento da janela - Sala 12</t>
  </si>
  <si>
    <t>Fechamento da janela - Cozinha</t>
  </si>
  <si>
    <t>Fechamento de Porta - DML</t>
  </si>
  <si>
    <t>Fechamento de Porta - Cozinha</t>
  </si>
  <si>
    <t>Fechamento da janela - Sala 10</t>
  </si>
  <si>
    <t>Hall do elevador</t>
  </si>
  <si>
    <t>Fechamento de janela - Auditório</t>
  </si>
  <si>
    <r>
      <t xml:space="preserve">Placa de identificação de obra pública, </t>
    </r>
    <r>
      <rPr>
        <b/>
        <sz val="9"/>
        <color rgb="FF000000"/>
        <rFont val="Arial"/>
        <family val="2"/>
      </rPr>
      <t>inclusive</t>
    </r>
    <r>
      <rPr>
        <sz val="9"/>
        <color rgb="FF000000"/>
        <rFont val="Arial"/>
        <family val="2"/>
      </rPr>
      <t xml:space="preserve"> pintura e suportes de madeira. FORNECIMENTO e COLOCAÇÃO</t>
    </r>
  </si>
  <si>
    <r>
      <t xml:space="preserve">Tapume de vedação ou proteção executado com telhas trapezoidais de aço galvanizado, espessura de 0,5mm, estas com 4 vezes de utilização, </t>
    </r>
    <r>
      <rPr>
        <b/>
        <sz val="9"/>
        <color rgb="FF000000"/>
        <rFont val="Arial"/>
        <family val="2"/>
      </rPr>
      <t>inclusive</t>
    </r>
    <r>
      <rPr>
        <sz val="9"/>
        <color rgb="FF000000"/>
        <rFont val="Arial"/>
        <family val="2"/>
      </rPr>
      <t xml:space="preserve"> engradamento de madeira, utilizado 2 vezes e pintura esmalte sintético na face externa. </t>
    </r>
  </si>
  <si>
    <r>
      <t xml:space="preserve">Demolição de revestimento em azulejos, cerâmicas ou mármore em parede, </t>
    </r>
    <r>
      <rPr>
        <b/>
        <sz val="9"/>
        <color rgb="FF000000"/>
        <rFont val="Arial"/>
        <family val="2"/>
      </rPr>
      <t>exclusive</t>
    </r>
    <r>
      <rPr>
        <sz val="9"/>
        <color rgb="FF000000"/>
        <rFont val="Arial"/>
        <family val="2"/>
      </rPr>
      <t xml:space="preserve"> a camada de assentamento</t>
    </r>
  </si>
  <si>
    <r>
      <t xml:space="preserve">Demolição de argamassa de assentamento de azulejo, cerâmica ou mármore em parede, </t>
    </r>
    <r>
      <rPr>
        <b/>
        <sz val="9"/>
        <color rgb="FF000000"/>
        <rFont val="Arial"/>
        <family val="2"/>
      </rPr>
      <t>inclusive</t>
    </r>
    <r>
      <rPr>
        <sz val="9"/>
        <color rgb="FF000000"/>
        <rFont val="Arial"/>
        <family val="2"/>
      </rPr>
      <t xml:space="preserve"> afastamento lateral dentro do canteiro de serviço</t>
    </r>
  </si>
  <si>
    <r>
      <t xml:space="preserve">Demolição de piso de ladrilho com respectiva camada de argamassa de assentamento, </t>
    </r>
    <r>
      <rPr>
        <b/>
        <sz val="9"/>
        <color rgb="FF000000"/>
        <rFont val="Arial"/>
        <family val="2"/>
      </rPr>
      <t>inclusive</t>
    </r>
    <r>
      <rPr>
        <sz val="9"/>
        <color rgb="FF000000"/>
        <rFont val="Arial"/>
        <family val="2"/>
      </rPr>
      <t xml:space="preserve"> afastamento lateral dentro do canteiro de serviço</t>
    </r>
  </si>
  <si>
    <r>
      <t xml:space="preserve">Demolição de pisos de mármore, soleiras, peitoris e escadas com respectiva camada de argamassa de assentamento, </t>
    </r>
    <r>
      <rPr>
        <b/>
        <sz val="9"/>
        <color rgb="FF000000"/>
        <rFont val="Arial"/>
        <family val="2"/>
      </rPr>
      <t>inclusive</t>
    </r>
    <r>
      <rPr>
        <sz val="9"/>
        <color rgb="FF000000"/>
        <rFont val="Arial"/>
        <family val="2"/>
      </rPr>
      <t xml:space="preserve"> afastamento lateral dentro do canteiro de serviço</t>
    </r>
  </si>
  <si>
    <r>
      <t xml:space="preserve">Demolição manual de alvenaria de tijolos furados, </t>
    </r>
    <r>
      <rPr>
        <b/>
        <sz val="9"/>
        <color rgb="FF000000"/>
        <rFont val="Arial"/>
        <family val="2"/>
      </rPr>
      <t>inclusive</t>
    </r>
    <r>
      <rPr>
        <sz val="9"/>
        <color rgb="FF000000"/>
        <rFont val="Arial"/>
        <family val="2"/>
      </rPr>
      <t xml:space="preserve"> empilhamento dentro do canteiro de serviço</t>
    </r>
  </si>
  <si>
    <r>
      <t xml:space="preserve">Demolição manual de laje pré-fabricada composta de tijolos cerâmicos, vigotas, armação e camada de capeamento, </t>
    </r>
    <r>
      <rPr>
        <b/>
        <sz val="9"/>
        <color rgb="FF000000"/>
        <rFont val="Arial"/>
        <family val="2"/>
      </rPr>
      <t>inclusive</t>
    </r>
    <r>
      <rPr>
        <sz val="9"/>
        <color rgb="FF000000"/>
        <rFont val="Arial"/>
        <family val="2"/>
      </rPr>
      <t xml:space="preserve"> empilhamento dentro do canteiro de serviço</t>
    </r>
  </si>
  <si>
    <r>
      <t xml:space="preserve">Remoção de carpete ou tapete colado no piso, </t>
    </r>
    <r>
      <rPr>
        <b/>
        <sz val="9"/>
        <color rgb="FF000000"/>
        <rFont val="Arial"/>
        <family val="2"/>
      </rPr>
      <t>inclusive</t>
    </r>
    <r>
      <rPr>
        <sz val="9"/>
        <color rgb="FF000000"/>
        <rFont val="Arial"/>
        <family val="2"/>
      </rPr>
      <t xml:space="preserve"> limpeza de resíduo de cola com palha de aço</t>
    </r>
  </si>
  <si>
    <r>
      <t xml:space="preserve">Aluguel de andaime com elementos tubulares (fachadeiro) sobre sapatas fixas, considerando-se a área da projeção vertical do andaime e pago pelo tempo necessário à sua utilização, </t>
    </r>
    <r>
      <rPr>
        <b/>
        <sz val="9"/>
        <color rgb="FF000000"/>
        <rFont val="Arial"/>
        <family val="2"/>
      </rPr>
      <t>exclusive</t>
    </r>
    <r>
      <rPr>
        <sz val="9"/>
        <color rgb="FF000000"/>
        <rFont val="Arial"/>
        <family val="2"/>
      </rPr>
      <t xml:space="preserve"> transporte dos elementos do andaime até a obra (vide item 04.020.0122), plataforma ou passarela de pinho (vide itens 05.005.0012 a 05.005.0015 ou 05.007.0007 e 05.008.0008), montagem e desmontagem dos andaimes (vide item 05.008.0001)</t>
    </r>
  </si>
  <si>
    <r>
      <t xml:space="preserve">Transporte de andaime tubular, considerando-se a área de projeção vertical do andaime, </t>
    </r>
    <r>
      <rPr>
        <b/>
        <sz val="9"/>
        <color rgb="FF000000"/>
        <rFont val="Arial"/>
        <family val="2"/>
      </rPr>
      <t xml:space="preserve">exclusive </t>
    </r>
    <r>
      <rPr>
        <sz val="9"/>
        <color rgb="FF000000"/>
        <rFont val="Arial"/>
        <family val="2"/>
      </rPr>
      <t>carga, descarga e tempo de espera do caminhão (vide item 04.021.0010)</t>
    </r>
  </si>
  <si>
    <r>
      <t xml:space="preserve">Carga e descarga manual de andaime tubular, </t>
    </r>
    <r>
      <rPr>
        <b/>
        <sz val="9"/>
        <color rgb="FF000000"/>
        <rFont val="Arial"/>
        <family val="2"/>
      </rPr>
      <t>inclusive</t>
    </r>
    <r>
      <rPr>
        <sz val="9"/>
        <color rgb="FF000000"/>
        <rFont val="Arial"/>
        <family val="2"/>
      </rPr>
      <t xml:space="preserve"> tempo de espera do caminhão, considerando-se a área de projeção vertical</t>
    </r>
  </si>
  <si>
    <r>
      <t xml:space="preserve">Plataforma ou passarela de madeira de 1ª, considerando-se aproveitamento da madeira 20 vezes, </t>
    </r>
    <r>
      <rPr>
        <b/>
        <sz val="9"/>
        <color rgb="FF000000"/>
        <rFont val="Arial"/>
        <family val="2"/>
      </rPr>
      <t>exclusive</t>
    </r>
    <r>
      <rPr>
        <sz val="9"/>
        <color rgb="FF000000"/>
        <rFont val="Arial"/>
        <family val="2"/>
      </rPr>
      <t xml:space="preserve"> andaime ou outro suporte e movimentação (vide item 05.008.0008)</t>
    </r>
  </si>
  <si>
    <r>
      <t xml:space="preserve">Transporte horizontal de material de 1ª categoria ou entulho, em carrinhos, a 10,00m de distância, </t>
    </r>
    <r>
      <rPr>
        <b/>
        <sz val="9"/>
        <color rgb="FF000000"/>
        <rFont val="Arial"/>
        <family val="2"/>
      </rPr>
      <t>inclusive</t>
    </r>
    <r>
      <rPr>
        <sz val="9"/>
        <color rgb="FF000000"/>
        <rFont val="Arial"/>
        <family val="2"/>
      </rPr>
      <t xml:space="preserve"> carga a pá</t>
    </r>
  </si>
  <si>
    <r>
      <t xml:space="preserve">Limpeza de caixa d’água ou cisterna, com capacidade até 1000l, </t>
    </r>
    <r>
      <rPr>
        <b/>
        <sz val="9"/>
        <color rgb="FF000000"/>
        <rFont val="Arial"/>
        <family val="2"/>
      </rPr>
      <t>inclusive</t>
    </r>
    <r>
      <rPr>
        <sz val="9"/>
        <color rgb="FF000000"/>
        <rFont val="Arial"/>
        <family val="2"/>
      </rPr>
      <t xml:space="preserve"> desinfecção conforme normas do INEA</t>
    </r>
  </si>
  <si>
    <r>
      <t xml:space="preserve">Concreto dosado racionalmente para uma resistência característica à compressão de 15MPa, </t>
    </r>
    <r>
      <rPr>
        <b/>
        <sz val="9"/>
        <color rgb="FF000000"/>
        <rFont val="Arial"/>
        <family val="2"/>
      </rPr>
      <t>inclusive</t>
    </r>
    <r>
      <rPr>
        <sz val="9"/>
        <color rgb="FF000000"/>
        <rFont val="Arial"/>
        <family val="2"/>
      </rPr>
      <t xml:space="preserve"> materiais, transporte, preparo com betoneira, lançamento e adensamento</t>
    </r>
  </si>
  <si>
    <r>
      <t xml:space="preserve">Concreto armado, fck=20MPa, incluindo materiais para 1,00m³ de concreto (importado de usina) adensado e colocado, 14,00m² de área moldada, formas e escoramento conforme itens 11.004.0022 e 11.004.0035, 60kg de aço CA-50, </t>
    </r>
    <r>
      <rPr>
        <b/>
        <sz val="9"/>
        <color rgb="FF000000"/>
        <rFont val="Arial"/>
        <family val="2"/>
      </rPr>
      <t xml:space="preserve">inclusive </t>
    </r>
    <r>
      <rPr>
        <sz val="9"/>
        <color rgb="FF000000"/>
        <rFont val="Arial"/>
        <family val="2"/>
      </rPr>
      <t>mão-de-obra para corte, dobragem, montagem e colocação nas formas</t>
    </r>
  </si>
  <si>
    <r>
      <t xml:space="preserve">Emboço interno com argamassa de cimento, cal hidratada aditivada e areia, no traço 1:1:8, com 2cm de espessura, </t>
    </r>
    <r>
      <rPr>
        <b/>
        <sz val="9"/>
        <color rgb="FF000000"/>
        <rFont val="Arial"/>
        <family val="2"/>
      </rPr>
      <t xml:space="preserve">exclusive </t>
    </r>
    <r>
      <rPr>
        <sz val="9"/>
        <color rgb="FF000000"/>
        <rFont val="Arial"/>
        <family val="2"/>
      </rPr>
      <t>chapisco</t>
    </r>
  </si>
  <si>
    <r>
      <t xml:space="preserve">Reboco externo ou interno com argamassa de cimento, cal hidratada em pó e areia fina, no traço 1:3:5, com 3mm de espessura, aplicado sobre emboço existente, </t>
    </r>
    <r>
      <rPr>
        <b/>
        <sz val="9"/>
        <color rgb="FF000000"/>
        <rFont val="Arial"/>
        <family val="2"/>
      </rPr>
      <t>exclusive</t>
    </r>
    <r>
      <rPr>
        <sz val="9"/>
        <color rgb="FF000000"/>
        <rFont val="Arial"/>
        <family val="2"/>
      </rPr>
      <t xml:space="preserve"> emboço</t>
    </r>
  </si>
  <si>
    <r>
      <t xml:space="preserve">Revestimento de paredes com tijolos cerâmicos tipo “boca de sapo”, de 20 x 9cm, fendido ao meio, assentes com juntas reentrantes de 1cm de largura e também de profundidade, rejuntadas com cimento comum ou cimento branco, </t>
    </r>
    <r>
      <rPr>
        <b/>
        <sz val="9"/>
        <color rgb="FF000000"/>
        <rFont val="Arial"/>
        <family val="2"/>
      </rPr>
      <t>inclusive</t>
    </r>
    <r>
      <rPr>
        <sz val="9"/>
        <color rgb="FF000000"/>
        <rFont val="Arial"/>
        <family val="2"/>
      </rPr>
      <t xml:space="preserve"> chapisco de cimento e areia, no traço 1:3 e emboço com argamassa de cimento, saibro e areia, no traço 1:3:3, com espessura de 2,5cm</t>
    </r>
  </si>
  <si>
    <r>
      <t>Instalação e assentamento de vaso sanitário individual e válvula de descarga (</t>
    </r>
    <r>
      <rPr>
        <b/>
        <sz val="9"/>
        <color rgb="FF000000"/>
        <rFont val="Arial"/>
        <family val="2"/>
      </rPr>
      <t xml:space="preserve">exclusive </t>
    </r>
    <r>
      <rPr>
        <sz val="9"/>
        <color rgb="FF000000"/>
        <rFont val="Arial"/>
        <family val="2"/>
      </rPr>
      <t xml:space="preserve">estes) em pavimento elevado, compreendendo:  instalação hidráulica com 2,00m de tubo de PVC de 50mm, com conexões, até a válvula e após esta até o vaso, ligação de esgotos com 3,00m de tubo de PVC de 100mm aos tubos de queda e ventilação, </t>
    </r>
    <r>
      <rPr>
        <b/>
        <sz val="9"/>
        <color rgb="FF000000"/>
        <rFont val="Arial"/>
        <family val="2"/>
      </rPr>
      <t>inclusive</t>
    </r>
    <r>
      <rPr>
        <sz val="9"/>
        <color rgb="FF000000"/>
        <rFont val="Arial"/>
        <family val="2"/>
      </rPr>
      <t xml:space="preserve"> conexões, </t>
    </r>
    <r>
      <rPr>
        <b/>
        <sz val="9"/>
        <color rgb="FF000000"/>
        <rFont val="Arial"/>
        <family val="2"/>
      </rPr>
      <t xml:space="preserve">exclusive </t>
    </r>
    <r>
      <rPr>
        <sz val="9"/>
        <color rgb="FF000000"/>
        <rFont val="Arial"/>
        <family val="2"/>
      </rPr>
      <t>os tubos de queda e ventilação</t>
    </r>
  </si>
  <si>
    <r>
      <t>Instalação e assentamento de lavatório de uma torneira (</t>
    </r>
    <r>
      <rPr>
        <b/>
        <sz val="9"/>
        <color rgb="FF000000"/>
        <rFont val="Arial"/>
        <family val="2"/>
      </rPr>
      <t>exclusive</t>
    </r>
    <r>
      <rPr>
        <sz val="9"/>
        <color rgb="FF000000"/>
        <rFont val="Arial"/>
        <family val="2"/>
      </rPr>
      <t xml:space="preserve"> fornecimento do aparelho), compreendendo:  3,00m de tubo de PVC de 25mm, 2,00m de tubo PVC de 40mm, rabichos e conexões</t>
    </r>
  </si>
  <si>
    <r>
      <t>Instalação e assentamento de pia com 1 cuba (</t>
    </r>
    <r>
      <rPr>
        <b/>
        <sz val="9"/>
        <color rgb="FF000000"/>
        <rFont val="Arial"/>
        <family val="2"/>
      </rPr>
      <t>exclusive</t>
    </r>
    <r>
      <rPr>
        <sz val="9"/>
        <color rgb="FF000000"/>
        <rFont val="Arial"/>
        <family val="2"/>
      </rPr>
      <t xml:space="preserve"> fornecimento do aparelho), compreendendo:  3,00m de tubo de PVC de 25mm, 3,00m de tubo PVC de 50mm e conexões</t>
    </r>
  </si>
  <si>
    <r>
      <t>Instalação e assentamento de tanque de serviço (</t>
    </r>
    <r>
      <rPr>
        <b/>
        <sz val="9"/>
        <color rgb="FF000000"/>
        <rFont val="Arial"/>
        <family val="2"/>
      </rPr>
      <t xml:space="preserve">exclusive </t>
    </r>
    <r>
      <rPr>
        <sz val="9"/>
        <color rgb="FF000000"/>
        <rFont val="Arial"/>
        <family val="2"/>
      </rPr>
      <t>fornecimento do aparelho), compreendendo:  3,00m de tubo de PVC de 25mm, 3,00m de tubo de PVC de 50mm e conexões</t>
    </r>
  </si>
  <si>
    <r>
      <t>Estrutura metálica para cobertura de galpão em arco ou em duas ou mais águas, com treliças, terças tirantes, etc, sobre apoios (</t>
    </r>
    <r>
      <rPr>
        <b/>
        <sz val="9"/>
        <color rgb="FF000000"/>
        <rFont val="Arial"/>
        <family val="2"/>
      </rPr>
      <t>exclusive</t>
    </r>
    <r>
      <rPr>
        <sz val="9"/>
        <color rgb="FF000000"/>
        <rFont val="Arial"/>
        <family val="2"/>
      </rPr>
      <t xml:space="preserve"> estes) para carga de cobertura de fibrocimento ou metálica, vãos até 15,00m, com uma demão de pintura antióxido, </t>
    </r>
    <r>
      <rPr>
        <b/>
        <sz val="9"/>
        <color rgb="FF000000"/>
        <rFont val="Arial"/>
        <family val="2"/>
      </rPr>
      <t>exclusive</t>
    </r>
    <r>
      <rPr>
        <sz val="9"/>
        <color rgb="FF000000"/>
        <rFont val="Arial"/>
        <family val="2"/>
      </rPr>
      <t xml:space="preserve"> cobertura e acessórios. FORNECIMENTO e MONTAGEM</t>
    </r>
  </si>
  <si>
    <r>
      <t xml:space="preserve">Cobertura em chapas de acrílico translúcido de 6mm de espessura, </t>
    </r>
    <r>
      <rPr>
        <b/>
        <sz val="9"/>
        <color rgb="FF000000"/>
        <rFont val="Arial"/>
        <family val="2"/>
      </rPr>
      <t>inclusive</t>
    </r>
    <r>
      <rPr>
        <sz val="9"/>
        <color rgb="FF000000"/>
        <rFont val="Arial"/>
        <family val="2"/>
      </rPr>
      <t xml:space="preserve"> fixação, </t>
    </r>
    <r>
      <rPr>
        <b/>
        <sz val="9"/>
        <color rgb="FF000000"/>
        <rFont val="Arial"/>
        <family val="2"/>
      </rPr>
      <t>exclusive</t>
    </r>
    <r>
      <rPr>
        <sz val="9"/>
        <color rgb="FF000000"/>
        <rFont val="Arial"/>
        <family val="2"/>
      </rPr>
      <t xml:space="preserve"> estrutura. Medido pela área real de cobertura. FORNECIMENTO e COLOCAÇÃO</t>
    </r>
  </si>
  <si>
    <r>
      <t xml:space="preserve">Estrutura de alumínio para clarabóia em chapa de policarbonato, </t>
    </r>
    <r>
      <rPr>
        <b/>
        <sz val="9"/>
        <color rgb="FF000000"/>
        <rFont val="Arial"/>
        <family val="2"/>
      </rPr>
      <t>exclusive</t>
    </r>
    <r>
      <rPr>
        <sz val="9"/>
        <color rgb="FF000000"/>
        <rFont val="Arial"/>
        <family val="2"/>
      </rPr>
      <t xml:space="preserve"> esta. FORNECIMENTO e COLOCAÇÃO</t>
    </r>
  </si>
  <si>
    <r>
      <t xml:space="preserve">Impermeabilização com manta a base de asfalto modificado com polímeros, atendendo a norma ABNT-NBR 9952 como tipo III-B, com espessura de 4,0mm, consumo mínimo de 1,15m²/m², aplicação com chama de maçarico sobre primer asfáltico base água ou base solvente, com consumo de 0,40kg/m², </t>
    </r>
    <r>
      <rPr>
        <b/>
        <sz val="9"/>
        <color rgb="FF000000"/>
        <rFont val="Arial"/>
        <family val="2"/>
      </rPr>
      <t>inclusive</t>
    </r>
    <r>
      <rPr>
        <sz val="9"/>
        <color rgb="FF000000"/>
        <rFont val="Arial"/>
        <family val="2"/>
      </rPr>
      <t xml:space="preserve"> este, em substrato com caimento de 1%, </t>
    </r>
    <r>
      <rPr>
        <b/>
        <sz val="9"/>
        <color rgb="FF000000"/>
        <rFont val="Arial"/>
        <family val="2"/>
      </rPr>
      <t>exclusive</t>
    </r>
    <r>
      <rPr>
        <sz val="9"/>
        <color rgb="FF000000"/>
        <rFont val="Arial"/>
        <family val="2"/>
      </rPr>
      <t xml:space="preserve"> regularização, camada separadora e proteção mecânica. CAMPO DE APLICAÇÃO: Terraços, lajes maciças, calhas, marquises, varandas e em regiões com temperatura até -5°C</t>
    </r>
  </si>
  <si>
    <r>
      <t xml:space="preserve">Preparo de superfícies novas, com revestimento liso, interior, </t>
    </r>
    <r>
      <rPr>
        <b/>
        <sz val="9"/>
        <color rgb="FF000000"/>
        <rFont val="Arial"/>
        <family val="2"/>
      </rPr>
      <t>inclusive</t>
    </r>
    <r>
      <rPr>
        <sz val="9"/>
        <color rgb="FF000000"/>
        <rFont val="Arial"/>
        <family val="2"/>
      </rPr>
      <t xml:space="preserve"> raspagem, limpeza, uma demão de selador, uma demão de massa corrida e lixamentos necessários</t>
    </r>
  </si>
  <si>
    <r>
      <t xml:space="preserve">Pintura com tinta látex, classificação premium ou standard (NBR 15079), fosco aveludada em revestimento liso, interior, acabamento de alta classe, em três demãos e mais uma demão de massa corrida e lixamento, sobre a superfície já preparada, conforme o item 17.018.0010, </t>
    </r>
    <r>
      <rPr>
        <b/>
        <sz val="9"/>
        <color rgb="FF000000"/>
        <rFont val="Arial"/>
        <family val="2"/>
      </rPr>
      <t>exclusive</t>
    </r>
    <r>
      <rPr>
        <sz val="9"/>
        <color rgb="FF000000"/>
        <rFont val="Arial"/>
        <family val="2"/>
      </rPr>
      <t xml:space="preserve"> este preparo</t>
    </r>
  </si>
  <si>
    <r>
      <t xml:space="preserve">Envernizamento de madeira com verniz tipo copal brilhante para interior, </t>
    </r>
    <r>
      <rPr>
        <b/>
        <sz val="9"/>
        <color rgb="FF000000"/>
        <rFont val="Arial"/>
        <family val="2"/>
      </rPr>
      <t>inclusive</t>
    </r>
    <r>
      <rPr>
        <sz val="9"/>
        <color rgb="FF000000"/>
        <rFont val="Arial"/>
        <family val="2"/>
      </rPr>
      <t xml:space="preserve"> lixamento, uma demão de verniz imunizante e impermeabilizante incolor, anilina e uma demão de acabamento</t>
    </r>
  </si>
  <si>
    <r>
      <t xml:space="preserve">Vaso sanitário de louça branca, convencional, tipo médio luxo, com medidas em torno de 37 x 47 x 38cm, </t>
    </r>
    <r>
      <rPr>
        <b/>
        <sz val="9"/>
        <color rgb="FF000000"/>
        <rFont val="Arial"/>
        <family val="2"/>
      </rPr>
      <t xml:space="preserve">inclusive </t>
    </r>
    <r>
      <rPr>
        <sz val="9"/>
        <color rgb="FF000000"/>
        <rFont val="Arial"/>
        <family val="2"/>
      </rPr>
      <t>assento plástico tipo médio luxo, bolsa de ligação, válvula de descarga de 1.1/2” com registro integrado, sistema hidromecânico (isenta de golpe de ariete) com corpo em latão, canopla e botão em metal cromado, tubo de ligação e acessórios de fixação. FORNECIMENTO</t>
    </r>
  </si>
  <si>
    <r>
      <t xml:space="preserve">Vaso sanitário de louça branca, para pessoas com necessidades específicas, </t>
    </r>
    <r>
      <rPr>
        <b/>
        <sz val="9"/>
        <color rgb="FF000000"/>
        <rFont val="Arial"/>
        <family val="2"/>
      </rPr>
      <t xml:space="preserve">inclusive </t>
    </r>
    <r>
      <rPr>
        <sz val="9"/>
        <color rgb="FF000000"/>
        <rFont val="Arial"/>
        <family val="2"/>
      </rPr>
      <t>assento especial, bolsa de ligação e acessórios de fixação. FORNECIMENTO</t>
    </r>
  </si>
  <si>
    <r>
      <t>Elevador especial para cadeira de rodas, capacidade de 210Kg, velocidade 15m/min., 2 paradas, percurso de 6,60m, comando automático simples em todas as paradas, com 2 portas por andar, abertura do mesmo lado tipo eixo vertical, dimensões de (0,80x2,00)m, portas em chapa com acabamento primer para pintura (</t>
    </r>
    <r>
      <rPr>
        <b/>
        <sz val="9"/>
        <color rgb="FF000000"/>
        <rFont val="Arial"/>
        <family val="2"/>
      </rPr>
      <t xml:space="preserve">exclusive </t>
    </r>
    <r>
      <rPr>
        <sz val="9"/>
        <color rgb="FF000000"/>
        <rFont val="Arial"/>
        <family val="2"/>
      </rPr>
      <t>esta), cabine com dimensões de (0,90x1,30x2,05)m em estrutura metálica, acabamento do piso em chapa de aço 3/16” revestida em borracha sintética, teto e acabamentos laterais com painel em chapa de aço com pintura eletrostática na cor bege, iluminação da cabine com luminária fluorescente, porta da cabine pantográfica manual em alumínio anodizado, guias em perfil “T” laminado, contrapeso em blocos de ferro fundido, com máquina superior, moto-freio e redutor de rosca sem fim, auxiliado por contrapeso. FORNECIMENTO, MONTAGEM e INSTALAÇÃO</t>
    </r>
  </si>
  <si>
    <t xml:space="preserve">Perímetro = 1,50 + 5,50 + 22,00 + 1,50 = 30,50 m </t>
  </si>
  <si>
    <t>1.1</t>
  </si>
  <si>
    <t>1.2</t>
  </si>
  <si>
    <t>2.1</t>
  </si>
  <si>
    <t>3.1</t>
  </si>
  <si>
    <t>4.1</t>
  </si>
  <si>
    <t>5.1</t>
  </si>
  <si>
    <t>6.1</t>
  </si>
  <si>
    <t>7.1</t>
  </si>
  <si>
    <t>8.1</t>
  </si>
  <si>
    <t>9.1</t>
  </si>
  <si>
    <t>10.1</t>
  </si>
  <si>
    <t>11.1</t>
  </si>
  <si>
    <t>12.1</t>
  </si>
  <si>
    <t>13.1</t>
  </si>
  <si>
    <t>14.1</t>
  </si>
  <si>
    <t>15.1</t>
  </si>
  <si>
    <t>CÓDIGO EMOP/SINAPI</t>
  </si>
  <si>
    <t>UNID.</t>
  </si>
  <si>
    <t>QUANT.</t>
  </si>
  <si>
    <t>2.2</t>
  </si>
  <si>
    <t>2.3</t>
  </si>
  <si>
    <t>2.4</t>
  </si>
  <si>
    <t>2.5</t>
  </si>
  <si>
    <t>2.6</t>
  </si>
  <si>
    <t>2.7</t>
  </si>
  <si>
    <t>2.8</t>
  </si>
  <si>
    <t>2.9</t>
  </si>
  <si>
    <t>2.10</t>
  </si>
  <si>
    <t>2.11</t>
  </si>
  <si>
    <t>2.12</t>
  </si>
  <si>
    <t>2.13</t>
  </si>
  <si>
    <t>2.14</t>
  </si>
  <si>
    <t>2.15</t>
  </si>
  <si>
    <t>2.16</t>
  </si>
  <si>
    <t>2.17</t>
  </si>
  <si>
    <t>2.18</t>
  </si>
  <si>
    <t>3.2</t>
  </si>
  <si>
    <t>3.3</t>
  </si>
  <si>
    <t>3.4</t>
  </si>
  <si>
    <t>3.5</t>
  </si>
  <si>
    <t>3.6</t>
  </si>
  <si>
    <t>3.7</t>
  </si>
  <si>
    <t>4.2</t>
  </si>
  <si>
    <t>4.3</t>
  </si>
  <si>
    <t>5.2</t>
  </si>
  <si>
    <t>5.3</t>
  </si>
  <si>
    <t>6.2</t>
  </si>
  <si>
    <t>6.3</t>
  </si>
  <si>
    <t>7.2</t>
  </si>
  <si>
    <t>7.3</t>
  </si>
  <si>
    <t>8.2</t>
  </si>
  <si>
    <t>8.3</t>
  </si>
  <si>
    <t>8.4</t>
  </si>
  <si>
    <t>8.5</t>
  </si>
  <si>
    <t>8.6</t>
  </si>
  <si>
    <t>8.7</t>
  </si>
  <si>
    <t>8.8</t>
  </si>
  <si>
    <t>8.10</t>
  </si>
  <si>
    <t>8.11</t>
  </si>
  <si>
    <t>8.13</t>
  </si>
  <si>
    <t>8.14</t>
  </si>
  <si>
    <t>8.15</t>
  </si>
  <si>
    <t>9.2</t>
  </si>
  <si>
    <t>10.2</t>
  </si>
  <si>
    <t>10.3</t>
  </si>
  <si>
    <t>10.4</t>
  </si>
  <si>
    <t>10.5</t>
  </si>
  <si>
    <t>10.6</t>
  </si>
  <si>
    <t>10.7</t>
  </si>
  <si>
    <t>10.8</t>
  </si>
  <si>
    <t>10.9</t>
  </si>
  <si>
    <t>10.10</t>
  </si>
  <si>
    <t>10.11</t>
  </si>
  <si>
    <t>11.2</t>
  </si>
  <si>
    <t>11.3</t>
  </si>
  <si>
    <t>11.4</t>
  </si>
  <si>
    <t>11.5</t>
  </si>
  <si>
    <t>12.2</t>
  </si>
  <si>
    <t>13.2</t>
  </si>
  <si>
    <t>13.3</t>
  </si>
  <si>
    <t>13.4</t>
  </si>
  <si>
    <t>13.5</t>
  </si>
  <si>
    <t>13.6</t>
  </si>
  <si>
    <t>Fechamento de alvenaria</t>
  </si>
  <si>
    <t>Perímetro = (2,30 + 1,30) x 2,00 = 7,20m</t>
  </si>
  <si>
    <t>Local de retirada do azulejo</t>
  </si>
  <si>
    <t>Sanitário 01</t>
  </si>
  <si>
    <t>Alvenaria demolida</t>
  </si>
  <si>
    <t>Fechamento da Porta</t>
  </si>
  <si>
    <t>Salão 02</t>
  </si>
  <si>
    <t>Banheiros Salão 02</t>
  </si>
  <si>
    <t>Perímetro Interno - Banheiro 1 = 2,05 + 1,55 + 1,55 + 2,00 = 7,15m</t>
  </si>
  <si>
    <t>Perímetro Interno - Banheiro 2 = 2,00 + 1,95 + 1,20 + 1,15 = 6,30m</t>
  </si>
  <si>
    <t>Perímetro externo - Banheiros 1 e 2 = 0,58 + 1,27 + (0,62 x 2) + 1,74 + 2,18 = 7,01m</t>
  </si>
  <si>
    <t>Sanitário</t>
  </si>
  <si>
    <t>Alvenaria Demolida</t>
  </si>
  <si>
    <t>Sala 12</t>
  </si>
  <si>
    <t>Fechamento de Porta</t>
  </si>
  <si>
    <t>Salão 03 / Circulação</t>
  </si>
  <si>
    <t>Sanitário Feminino</t>
  </si>
  <si>
    <t>Sanitário Masculino</t>
  </si>
  <si>
    <t>Perímetro = (2,85 + 1,85) x 2 = 9,20m</t>
  </si>
  <si>
    <t>Mesma área calculada para chapisco.</t>
  </si>
  <si>
    <t>Fechamento da Porta - Interno</t>
  </si>
  <si>
    <t>Fechamento da Porta - Externo</t>
  </si>
  <si>
    <t>Fechamento de Porta - Hall Sala 05 e 04</t>
  </si>
  <si>
    <t>Perímetro = (5,30 + 1,60) x 2 = 13,80m</t>
  </si>
  <si>
    <t>Arremate da Janela - Sala 05</t>
  </si>
  <si>
    <t>Arremate da Janela - Sala 04</t>
  </si>
  <si>
    <t>Perímetro = (5,90 + 1,60) x 2 = 15,00m</t>
  </si>
  <si>
    <t>Perímetro = (5,60 + 1,60) x 2 = 12,40m</t>
  </si>
  <si>
    <t>Arremate da Janela - Sala 02</t>
  </si>
  <si>
    <t>Arremate da Janela - Mezanino 02</t>
  </si>
  <si>
    <t>Perímetro = (5,30 + 1,30) x 2 = 13,20m</t>
  </si>
  <si>
    <t>Perímetro = (5,90 + 1,30) x 2 = 14,40m</t>
  </si>
  <si>
    <t>Arremate da Janela - Mezanino 01</t>
  </si>
  <si>
    <t>Arremate da Janela - Mezanino 03</t>
  </si>
  <si>
    <t>Perímetro = (5,60 + 1,30) x 2 = 13,80m</t>
  </si>
  <si>
    <t>Perímetro = (3,60 + 1,30) x 2 = 9,80m</t>
  </si>
  <si>
    <t>Perímetro = (3,60 + 1,60) x 2 = 10,40m</t>
  </si>
  <si>
    <t>Arremate da Janela - Sala 13</t>
  </si>
  <si>
    <t>Arremate da Janela - Sala 12 e Cozinha</t>
  </si>
  <si>
    <t>Arremate da Janela - Sala 10</t>
  </si>
  <si>
    <t>Arremate da Janela - Auditório</t>
  </si>
  <si>
    <t>Perímetro = (2,80 + 1,60) x 2 = 8,80m</t>
  </si>
  <si>
    <t>Demolição das paredes</t>
  </si>
  <si>
    <t>Porta Sala 05</t>
  </si>
  <si>
    <t>Sala 04 / Circulação</t>
  </si>
  <si>
    <t>Sanitário PNE</t>
  </si>
  <si>
    <t>Sanitário 02</t>
  </si>
  <si>
    <t>13.331.0015-0</t>
  </si>
  <si>
    <t>Revestimento de piso cerâmico em porcelanato natural, tráfego intenso (P.E.I. IV), 60 x 60cm, assentes em superfície em osso com argamassa de cimento e cola (argamassa colante) e rejuntamento pronto</t>
  </si>
  <si>
    <t>13.331.0050-0</t>
  </si>
  <si>
    <t>Rodapé com cerâmica em porcelanato natural , com 7,5 a 10cm de altura, assentes conforme item 13.025.0016</t>
  </si>
  <si>
    <t>8.16</t>
  </si>
  <si>
    <t>8.17</t>
  </si>
  <si>
    <t>Térreo (Retirado do Projeto)</t>
  </si>
  <si>
    <t>Sanitário 1</t>
  </si>
  <si>
    <t>Sanitário 2</t>
  </si>
  <si>
    <t>Mezanino (Retirado do Projeto)</t>
  </si>
  <si>
    <t>1º Pavimento (Retirado do Projeto)</t>
  </si>
  <si>
    <t>Sanitário Masculino / Feminino</t>
  </si>
  <si>
    <t>13.330.0022-0</t>
  </si>
  <si>
    <t>Assentamento de pisos de mármore ou granito, exclusive estes, em placas, em superfície em osso, com nata de cimento sobre argamassa de cimento, cal hidratada aditivada e areia, no traço 1:1:10, com espessura de 3,5cm e rejuntamento pronto</t>
  </si>
  <si>
    <t>8.18</t>
  </si>
  <si>
    <t>Item 2.12 - Remoção de piso de mármore ou granito</t>
  </si>
  <si>
    <t>13.365.0075-0</t>
  </si>
  <si>
    <t>Revestimento de piso com granito cinza corumbá, em placas, com espessura de 2cm, polido e lustrado, assente com argamassa colante, juntas de 2mm de espessura e rejuntamento pronto</t>
  </si>
  <si>
    <t>8.19</t>
  </si>
  <si>
    <t>Área do Elevador (Retirado do Projeto) = 10,52 - 4,20 = 6,32 m²</t>
  </si>
  <si>
    <t>Sub Solo</t>
  </si>
  <si>
    <t>PORTAS</t>
  </si>
  <si>
    <t>17.018.0117-0</t>
  </si>
  <si>
    <t>SUB SOLO</t>
  </si>
  <si>
    <t>SALA 01 (5,3+2,0)X2= 14,60</t>
  </si>
  <si>
    <t>DESCONTAR (2,4 X 1,2 +2,1 X 0,8)= 4,56</t>
  </si>
  <si>
    <t>SALÃO 01</t>
  </si>
  <si>
    <t>11,04+12,4+3,00+5,00+0,80</t>
  </si>
  <si>
    <t>15,10 =61,14</t>
  </si>
  <si>
    <t>SOMAR 12 PILARES DE 1,0m DE PERIM.</t>
  </si>
  <si>
    <t>DESCONTAR</t>
  </si>
  <si>
    <t xml:space="preserve">        JANELAS  (2,37+4,7+2,3)X0,55 =5,42</t>
  </si>
  <si>
    <t>PORTA   080X2,10 = 1,68</t>
  </si>
  <si>
    <t>CORREDODA ESCADA</t>
  </si>
  <si>
    <t>4,10 + 4,40 +5,30 = 13,80</t>
  </si>
  <si>
    <t xml:space="preserve">DESCONTAR </t>
  </si>
  <si>
    <t>TETO SUB SOLO</t>
  </si>
  <si>
    <t>TOTAL GERAL</t>
  </si>
  <si>
    <t>SALA 01</t>
  </si>
  <si>
    <t>PER. (0,6+1,75+2,18+2,1+3,8+0,5+0,6) = 11,52</t>
  </si>
  <si>
    <t>DESCONTAR (2,1X1,00 +4,50X1,4) = 8,4</t>
  </si>
  <si>
    <t>SALA 02</t>
  </si>
  <si>
    <t>PER. (0,30+1,20+3,00+3,20+2,18+1,27+0,60) =12,95</t>
  </si>
  <si>
    <t>DESC. (0,6X2,10 0,6X0,6) =1,62</t>
  </si>
  <si>
    <t>PILAR</t>
  </si>
  <si>
    <t>SALA 03 E 04</t>
  </si>
  <si>
    <t>PER.  (2,30+5,60+1,50+2,60+1,50+5,10+3,40+0,50+</t>
  </si>
  <si>
    <t>4,20+0,5+2,1+2,6+2,1+0,5+3,60+2,4+0,4+3,2) = 42</t>
  </si>
  <si>
    <t>(4X0,5 +2X3,50) X 1,4 = 12,60</t>
  </si>
  <si>
    <t>DESC. ((1,5+5X1,6+1,8) X 2,10 = 23,70</t>
  </si>
  <si>
    <t>2X0,6X0,6 =0,72</t>
  </si>
  <si>
    <t>SALA 06</t>
  </si>
  <si>
    <t>PER. (1,50+1,30+1,30+1,2+3,00+1,20+3,00+3,20) =</t>
  </si>
  <si>
    <t>DESC. (0,60+0,80)X2,10 =2,94</t>
  </si>
  <si>
    <t>0,6X0,6 = 0,36</t>
  </si>
  <si>
    <t>3,60X1,4 = 5,04</t>
  </si>
  <si>
    <t>CIRCULAÇÃO</t>
  </si>
  <si>
    <t>PER. (14,50+2,3+2,7+1,4+3,00+0,70+0,7+7,00+2,50)</t>
  </si>
  <si>
    <t>6,0 X</t>
  </si>
  <si>
    <t>DESC. (1,5+0,8 +1,9)X2,10 = 8,82</t>
  </si>
  <si>
    <t>PILARES   8X 4,8</t>
  </si>
  <si>
    <t>ESCADA</t>
  </si>
  <si>
    <t>PER. 4,2+6,2+4,0 = 14,40</t>
  </si>
  <si>
    <t xml:space="preserve">TERREO     </t>
  </si>
  <si>
    <t>PAREDES</t>
  </si>
  <si>
    <t>TETOS</t>
  </si>
  <si>
    <t>11,36 + 97,50 +43,75 +22,42 = 175,03</t>
  </si>
  <si>
    <t>TERREO  MEZANINO</t>
  </si>
  <si>
    <t>PER. (2,20+13,20+2,60+13,20) = 31,20</t>
  </si>
  <si>
    <t>DESC.   13,2*1,2</t>
  </si>
  <si>
    <t>DESC. 15,84</t>
  </si>
  <si>
    <t>VAZIO  (13,20+0,5+1,2+3,0+1,2+1,2+27,10) = 27,10</t>
  </si>
  <si>
    <t>MEZANINO 01</t>
  </si>
  <si>
    <t>PER. 2X(5,0+2,5) = 15,00</t>
  </si>
  <si>
    <t>NICHO</t>
  </si>
  <si>
    <t>2X(1,2+1)X2,00 =</t>
  </si>
  <si>
    <t>ENTRADA</t>
  </si>
  <si>
    <t>PER. (2,2+1,7)X2,0 = 7,40</t>
  </si>
  <si>
    <t>DESC. 1,60 *0,9</t>
  </si>
  <si>
    <t>PER.   (5,30+2,5)X2 = 16,60</t>
  </si>
  <si>
    <t xml:space="preserve">DESC.  5,20X2,3 = </t>
  </si>
  <si>
    <t>DESC.  5,00+2,30 = 11,50</t>
  </si>
  <si>
    <t>VAZIO MEZANINO 01</t>
  </si>
  <si>
    <t>PER.  (0,5+1,0+5,0+1,0+0,5+4,30)=12,30</t>
  </si>
  <si>
    <t>DESC.  5,00*2,3</t>
  </si>
  <si>
    <t>DESC. 0,5+0,5+3,4 = 4,4</t>
  </si>
  <si>
    <t>MEZANINO 03 SALAS 01, 02 E 05</t>
  </si>
  <si>
    <t>NEZANINO 03</t>
  </si>
  <si>
    <t>VAZIO DO MEZANINO 02</t>
  </si>
  <si>
    <t>PER.  (5,50+2,0+0,5+1,0) = 9</t>
  </si>
  <si>
    <t>DESC.   5,50X 2,3</t>
  </si>
  <si>
    <t>DESC (0,5+0,5+3,5) =4,5</t>
  </si>
  <si>
    <t>CIRCULAÇÃO      32,77</t>
  </si>
  <si>
    <t>ESCADA               22,42</t>
  </si>
  <si>
    <t>SALA 05               14,62</t>
  </si>
  <si>
    <t>SALÃO 02           29,55</t>
  </si>
  <si>
    <t>MEZANINO 03   32,19</t>
  </si>
  <si>
    <t>MEZANINO 01   12,5</t>
  </si>
  <si>
    <t>MEZANINO 02  13,75</t>
  </si>
  <si>
    <t>SALA 04            20,11</t>
  </si>
  <si>
    <t>SALA 05           21,35</t>
  </si>
  <si>
    <t xml:space="preserve">                           199,26 m2</t>
  </si>
  <si>
    <t>TOTAL GERAL TERREO</t>
  </si>
  <si>
    <t>TETO</t>
  </si>
  <si>
    <t>PAREDE</t>
  </si>
  <si>
    <t>TERREO</t>
  </si>
  <si>
    <t>1º PAVIMENTO</t>
  </si>
  <si>
    <t>AUDITORIO</t>
  </si>
  <si>
    <t>PER. (2,2+1,0+2,5+8,5+4,0+3,0+1,8+12,6)</t>
  </si>
  <si>
    <t>DESC. (2,0+1,5+0,5)</t>
  </si>
  <si>
    <t>DESC 1,60X 2,10</t>
  </si>
  <si>
    <t>ÁREA DO PRISMA</t>
  </si>
  <si>
    <t>PERM (5,8+10,5+6,7+6,2+0,2+4,2+0,3)</t>
  </si>
  <si>
    <t>DESC. 1,60X2,10</t>
  </si>
  <si>
    <t>DESC. 5,20X1,60</t>
  </si>
  <si>
    <t>DESC. 1,0 X 0,50</t>
  </si>
  <si>
    <t>SALAO 03</t>
  </si>
  <si>
    <t>PER. (6,2+2,0+6,9+6,8+8,9)</t>
  </si>
  <si>
    <t>DESC. 3,70 X 2,60</t>
  </si>
  <si>
    <t>PER. (11,5+1,10)X 2,00 = 25,20</t>
  </si>
  <si>
    <t>DESC.    9,62</t>
  </si>
  <si>
    <t xml:space="preserve">DESC.4X 0,80 X2,1 </t>
  </si>
  <si>
    <t>SALA  13</t>
  </si>
  <si>
    <t>PER. (5,7+2,4+0,8+0,4+0,4+0,8+3,60+0,8+3,5)</t>
  </si>
  <si>
    <t>DESC.0,8 X 2,10</t>
  </si>
  <si>
    <t>DESC. 0,60 X 2,10</t>
  </si>
  <si>
    <t>DESC. (0,5+0,5+3,4+0,5+2)</t>
  </si>
  <si>
    <t>SALA 12</t>
  </si>
  <si>
    <t>PER.  (3,2+1,8+1,2+0,4+0,6+1,9+2,8)</t>
  </si>
  <si>
    <t>DESC.  2,0 X 1,60</t>
  </si>
  <si>
    <t>DESC.  0,80 X 2,10</t>
  </si>
  <si>
    <t>SALA 10</t>
  </si>
  <si>
    <t>PER. (2,7+1,1+1,3+2,5+0,6+2,8+4,0)</t>
  </si>
  <si>
    <t>DESC. (0,5+3,40) x 1,6</t>
  </si>
  <si>
    <t>DESC.  0,80 X2,10</t>
  </si>
  <si>
    <t>AUDITORIO     57,07</t>
  </si>
  <si>
    <t>SALÃO E CIRCULAÇÃO PRISMA</t>
  </si>
  <si>
    <t>((6+6,8)/2) X 19,30=123,52m²</t>
  </si>
  <si>
    <t>DESCONTAR PRISMA 8,20 X 4,50 = 36,90m²</t>
  </si>
  <si>
    <t>TIRADO EM PLANTA</t>
  </si>
  <si>
    <t>CIRCULAÇÃO   12,70</t>
  </si>
  <si>
    <t>SALA 13              21,35</t>
  </si>
  <si>
    <t>SALA 12               7,89</t>
  </si>
  <si>
    <t>SALA 10              14,82</t>
  </si>
  <si>
    <t>1º PAV.</t>
  </si>
  <si>
    <t>SUBSOLO</t>
  </si>
  <si>
    <t>TOTAL TETO</t>
  </si>
  <si>
    <t>TOTAL PAREDE</t>
  </si>
  <si>
    <t>PINTURA AREA MOLHADA</t>
  </si>
  <si>
    <t>SANITARIO 01</t>
  </si>
  <si>
    <t>PER,  (2,5+1,30) X 2 = 7,20</t>
  </si>
  <si>
    <t>DESC  0,6 X 0,7  =0,42</t>
  </si>
  <si>
    <t>DESC  2 X 0,6 X 0,6 = 0,72</t>
  </si>
  <si>
    <t>SANITARIO 02</t>
  </si>
  <si>
    <t>PER.  (1,9 + 1,2) X 2 = 6,2</t>
  </si>
  <si>
    <t>DESC 0,6X0,7</t>
  </si>
  <si>
    <t>DESC  0,6X0,6</t>
  </si>
  <si>
    <t>SANITARIO PNE</t>
  </si>
  <si>
    <t>PER  (1,9 +1,53) X 2,0 = 7,02</t>
  </si>
  <si>
    <t>DESC  1,0 X 0,7</t>
  </si>
  <si>
    <t>DESC 0,6X 0,6</t>
  </si>
  <si>
    <t>SANITARIO 06</t>
  </si>
  <si>
    <t>DESC 0,6 X0,7</t>
  </si>
  <si>
    <t>DESC  0,6 *0,6</t>
  </si>
  <si>
    <t>PER  (1,35 + 1,15+ 1,4 + 1,15) = 5,05</t>
  </si>
  <si>
    <t>SANITARIO 13</t>
  </si>
  <si>
    <t>PER  (1,3+1,8) X 2 = 6,2</t>
  </si>
  <si>
    <t>DESC  0,6X0,7</t>
  </si>
  <si>
    <t>BANHEROS MASC E FEMININO   ( X 2)</t>
  </si>
  <si>
    <t>PER  (1,85 2,85) X2,0 = 9,4</t>
  </si>
  <si>
    <t>DESC  0,6 X 0,7</t>
  </si>
  <si>
    <t>DESC  1,0 X 0,6</t>
  </si>
  <si>
    <t xml:space="preserve">AREA DE SERVIÇO  </t>
  </si>
  <si>
    <t>OBS SEM ÁREA DE PINTURA</t>
  </si>
  <si>
    <t>COPA 1º PAVIMENTO</t>
  </si>
  <si>
    <t>PER  (5,4+2,75+2,2+0,6+0,4+2,8+1,8) = 15,85</t>
  </si>
  <si>
    <t>DESC  0,8 X 2,10</t>
  </si>
  <si>
    <t>DESC  0,6 X0,6</t>
  </si>
  <si>
    <t>DESC 2,3 X 1,6</t>
  </si>
  <si>
    <t>DESC  (0,55 +2,0) X 1,4</t>
  </si>
  <si>
    <t>A. MOLH.</t>
  </si>
  <si>
    <t>JANELAS</t>
  </si>
  <si>
    <t>SALA 01   ( 2,2 X 1,6)</t>
  </si>
  <si>
    <t>SALÃO 01      (2.4 X1,6 )</t>
  </si>
  <si>
    <t>PORTA 08 X 2,1</t>
  </si>
  <si>
    <t>PORTA  1.6 X 2,1</t>
  </si>
  <si>
    <t xml:space="preserve">0,6 X 0,6 </t>
  </si>
  <si>
    <t>0,6 X 2,10</t>
  </si>
  <si>
    <t>0,8 X 2,10</t>
  </si>
  <si>
    <t>JANELA</t>
  </si>
  <si>
    <t>1,0X0,6</t>
  </si>
  <si>
    <t>PORTA</t>
  </si>
  <si>
    <t>0,6 2,1</t>
  </si>
  <si>
    <t>0,6X2,10</t>
  </si>
  <si>
    <t>1,00X2,1</t>
  </si>
  <si>
    <t>1,2 X1,8</t>
  </si>
  <si>
    <t>3,6 X 1,80</t>
  </si>
  <si>
    <t>1,2X2,1</t>
  </si>
  <si>
    <t>AREA PROJETADA</t>
  </si>
  <si>
    <t xml:space="preserve">4,40 X4,0  COM  3 LANCES COMPLETO   </t>
  </si>
  <si>
    <t>PORTA DO SUBSOLO 0,8 2,10</t>
  </si>
  <si>
    <t>CORRIMÃO</t>
  </si>
  <si>
    <t>EXTERNO (4,3+4+4,4) = 12,8</t>
  </si>
  <si>
    <t>INTERNO  (1,6+1,3+1,6+1,3) = 5,80</t>
  </si>
  <si>
    <t xml:space="preserve">ESTRUTURA </t>
  </si>
  <si>
    <t xml:space="preserve">9,55 X 5,40 </t>
  </si>
  <si>
    <t>GUARDA CORPO MEZANINO</t>
  </si>
  <si>
    <t>5,4+5,0</t>
  </si>
  <si>
    <t>ESCADA DE ACESSO MEZABINO</t>
  </si>
  <si>
    <t>DIAMETRO 1,20m ALTURA 2..6</t>
  </si>
  <si>
    <t>CIRC. TERREO (12,5 X 2,50 + 1,25X1,25) = 32,81</t>
  </si>
  <si>
    <t>13.380.0010-0</t>
  </si>
  <si>
    <t>Piso de marmorite.</t>
  </si>
  <si>
    <t>RAMPA DE ACESSO (TIRADO DO PROJETO)</t>
  </si>
  <si>
    <t>(3,29(emboço)+1,39(azulejo)+1,04(argamassa de acentam)+4,90(piso)+0,31(piso marmore)+8,08(alvenaria)+0,5(laje)+10,42(gess)+0,96(piso de granito) = 30,89</t>
  </si>
  <si>
    <t>(6,67 +10,15)(per alv.) = 16,82</t>
  </si>
  <si>
    <t>Soco para Área de Serviço</t>
  </si>
  <si>
    <t>Soco para Copa</t>
  </si>
  <si>
    <t>Desconto de Porta</t>
  </si>
  <si>
    <t>12.025.0001-0</t>
  </si>
  <si>
    <t>Parede divisória para sanitários em placa de mármore branco clássico com 3cm de espessura, polido nas duas faces, apoiada no piso e na parede, exclusive fornecimento das ferragens de fixaçãodo mármore, portas e suas ferragens (vide itens 14.007.0085 e 14.007.0200). FORNECIMENTO e COLOCAÇÃO</t>
  </si>
  <si>
    <t>Sanitário Masculino e Feminino</t>
  </si>
  <si>
    <t>13.003.0005-0</t>
  </si>
  <si>
    <t>Revestimento externo (pronto) em massa única com argamassa de cimento e areia termotratada com espessura de 3cm, inclusive chapisco de cimento e areia traço 1:3, com espessura de 9mm</t>
  </si>
  <si>
    <t>Arremate da Porta - Sala 05</t>
  </si>
  <si>
    <t>Perímetro = (2 x 2,10 + 1,80) = 6,00m</t>
  </si>
  <si>
    <t>14.003.0226-0</t>
  </si>
  <si>
    <t>Porta de alumínio anodizado em bronze ou preto, perfil série 25, em veneziana, exclusive fechadura. FORNECIMENTO e COLOCAÇÃO</t>
  </si>
  <si>
    <t>Área de Serviço</t>
  </si>
  <si>
    <t>Sanitário - Sala 06</t>
  </si>
  <si>
    <t>Sanitário - Sala 13</t>
  </si>
  <si>
    <t>15.004.0125-0</t>
  </si>
  <si>
    <t>Instalação e assentamento de um vaso sanitário e válvula de descarga (exclusive estes) em pavimento elevado, parte de um conjunto de dois ou mais vasos, compreendendo: instalação hidráulica com 1,50m de tubo de PVC de 50mm, com conexões, até a válvula de descarga e após esta até o vaso, ligação de esgoto com 2,00m de tubo de PVC de 100mm, aos tubos de queda e ventilação, inclusive conexões, exclusive os tubos de queda e ventilação</t>
  </si>
  <si>
    <t>Banheiro Masculino / Feminino</t>
  </si>
  <si>
    <t>15.004.0150-0</t>
  </si>
  <si>
    <t>Instalação e assentamento de um lavatório ou aparelho de instalação semelhante, em bateria (exclusive fornecimento do aparelho), compreendendo: 1,00m de tubo de PVC de 32mm e 0,60m de tubo de PVC de 25mm, com conexões e esgotamento em PVC de 40mm, até o ralo sifonado</t>
  </si>
  <si>
    <t>15.003.0379-0</t>
  </si>
  <si>
    <t>Assentamento de torneira (exclusive fornecimento do aparelho), inclusive materiais necessários</t>
  </si>
  <si>
    <t>Cobetura da Circulação no 1º Pavimento</t>
  </si>
  <si>
    <t>(9,80+9,8+5,6+5,60) = 30,80m</t>
  </si>
  <si>
    <t>Contorno do prisma</t>
  </si>
  <si>
    <t>ÁREA MOLHADA + ÁREA SECA (PAREDES E TETOS)</t>
  </si>
  <si>
    <t>Repintura com tinta látex semibrilhante, fosca, ou acetinada, classificação premium ou standard (NBR 15079), para interior e exterior, sobre superfície em bom estado e na cor existente, inclusive limpeza, leve lixamento com lixa fina, uma demão de selador e uma de acabamento</t>
  </si>
  <si>
    <t>DESCONTO DE ÁREA DE SUPERFÍCIE NOVA (ÁREA DE REBOCO)</t>
  </si>
  <si>
    <t>AUDITÓRIO</t>
  </si>
  <si>
    <t>17.020.0060-0</t>
  </si>
  <si>
    <t>Envernizamento de rodapé de madeira com verniz tipo copal brilhante, inclusive lixamento, uma demão de verniz imunizante e impermeabilizante incolor, anilina e duas demãos de acabamento</t>
  </si>
  <si>
    <t>ÁREA DE SUPERFÍCIE NOVA (ÁREA DE REBOCO)</t>
  </si>
  <si>
    <t>18.016.0025-0</t>
  </si>
  <si>
    <t>Tanque de aço inoxidável, em chapa 22.304 de 520 x 520mm, capacidade de 30L, com esfregador, exclusive torneira. FORNECIMENTO</t>
  </si>
  <si>
    <t>18.084.0050-0</t>
  </si>
  <si>
    <t>Banca de granito branco itaúnas, com 3cm de espessura, com abertura para 1 cuba (exclusive esta), sobre apoios de alvenaria de meia vez e verga de concreto, sem revestimento. FORNECIMENTO e COLOCAÇÃO</t>
  </si>
  <si>
    <t>Sanitário - Sala 06 (Retirado do Projeto)</t>
  </si>
  <si>
    <t>18.081.0105-0</t>
  </si>
  <si>
    <t>Frontispício de granito cinza corumbá, com seção de 10 x 2cm, inclusive rejuntamento. FORNECIMENTO e COLOCAÇÃO</t>
  </si>
  <si>
    <t>18.070.0005-0</t>
  </si>
  <si>
    <t>Prateleira de mármore branco clássico, com 30cm de largura e 2cm de espessura, sobre consolo de ferro. FORNECIMENTO e COLOCAÇÃO</t>
  </si>
  <si>
    <t>18.002.0027-0</t>
  </si>
  <si>
    <t>Lavatório de louça branca de embutir (cuba), tipo médio luxo, com ladrão, com medidas em torno de 52 x 39cm. Ferragens em metal cromado: sifão 1680 1” x 1.1/4”, torneira de pressão 1193 de 1/2” e válvula de escoamento 1603. Rabicho em PVC. FORNECIMENTO</t>
  </si>
  <si>
    <t>18.016.0040-0</t>
  </si>
  <si>
    <t>Cuba de aço inoxidável de 500 x 400 x 200mm, em chapa 20.304, válvula de escoamento tipo americana 1623, sifão 1680 1.1/2” x 1.1/2”, exclusive torneira. FORNECIMENTO e COLOCAÇÃO</t>
  </si>
  <si>
    <t>18.009.0066-0</t>
  </si>
  <si>
    <t>Torneira para pia, com arejador, tubo móvel, tipo banca, 1167 de 1/2” x 17cm aproximadamente, em metal cromado. FORNECIMENTO</t>
  </si>
  <si>
    <t>LAVATÓRIO LOUÇA BRANCA COM COLUNA, 45 X 55CM OU EQUIVALENTE, PADRÃO MÉ UN CR 282,18
DIO - FORNECIMENTO E INSTALAÇÃO. AF_12/2013</t>
  </si>
  <si>
    <r>
      <t>Lavatório de louça branca, com coluna suspensa, para pessoas com necessidades específicas, com medidas em torno de 45,5 x 35,5cm,</t>
    </r>
    <r>
      <rPr>
        <b/>
        <sz val="9"/>
        <color rgb="FF000000"/>
        <rFont val="Arial"/>
        <family val="2"/>
      </rPr>
      <t xml:space="preserve"> inclusive</t>
    </r>
    <r>
      <rPr>
        <sz val="9"/>
        <color rgb="FF000000"/>
        <rFont val="Arial"/>
        <family val="2"/>
      </rPr>
      <t xml:space="preserve"> sifão em PVC flexível, válvula de escoamento cromada, rabicho em PVC e torneira de fechamento automático</t>
    </r>
  </si>
  <si>
    <t>Barra de apoio, para pessoas com necessidades específicas, em tubo de 1.1/2” em aço inoxidável, com 80cm. FORNECIMENTO e COLOCAÇÃO</t>
  </si>
  <si>
    <t>18.084.0051-0</t>
  </si>
  <si>
    <t>Banca de granito branco itaúnas, com 3cm de espessura, com abertura para 2 cuba (exclusive esta), sobre apoios de alvenaria de meia vez e verga de concreto, sem revestimento. FORNECIMENTO e COLOCAÇÃO</t>
  </si>
  <si>
    <t>(4,85 + 2,45) = 7,30m</t>
  </si>
  <si>
    <t>(0,85 + 0,55 + 3,55 + 0,55 + 0,55 + 3,55 + 0,55 + 0,55 + 3,55) = 14,25m</t>
  </si>
  <si>
    <t>(2,05 + 0,55 + 0,55 + 3,55 + 0,55 + 1,85 + 0,55 + 3,55 + 0,55 + 1,85 + 0,55 + 3,55) = 19,70m</t>
  </si>
  <si>
    <t>(2,05 + 0,55 + 0,55 + 3,55 + 0,55 + 0,65 + 0,55 + 3,55 + 0,55 + 0,65 + 0,55 + 3,55 + 2,05 + 0,55 + 1,55) = 21,45m</t>
  </si>
  <si>
    <t>RETIRADO DO PROJETO</t>
  </si>
  <si>
    <t>TRAPÉZIO DO PALCO (RETIRADO DO PROJETO)</t>
  </si>
  <si>
    <t>TRIÂNGULO DO CORREDOR (RETIRADO DO PROJETO)</t>
  </si>
  <si>
    <t>7.4</t>
  </si>
  <si>
    <t>8.9</t>
  </si>
  <si>
    <t>8.12</t>
  </si>
  <si>
    <t>Perímetro = (1,30 x 2 + 2,30 x 2) = 7,20m</t>
  </si>
  <si>
    <t>Desconto da Porta</t>
  </si>
  <si>
    <t>Perímetro = (1,17 x 2 + 1,98 + 1,93) = 6,25m</t>
  </si>
  <si>
    <t>Perímetro = (1,53 x 2 + 2,02 + 1,98) = 7,06m</t>
  </si>
  <si>
    <t>Perímetro = (1,15 x 2 + 1,35 + 1,40) = 5,05m</t>
  </si>
  <si>
    <t>Perímetro = 2,18 + 0,55 = 2,73m</t>
  </si>
  <si>
    <t>Sanitário  - Sala 13</t>
  </si>
  <si>
    <t>Perímetro = (1,80 x 2 + 1,30 x 2) = 6,20m</t>
  </si>
  <si>
    <t>Sanitário Feminino / Masculino</t>
  </si>
  <si>
    <t>Perímetro = (2,85 x 2 + 1,85 x 2) = 9,40m</t>
  </si>
  <si>
    <t>Perímetro = 2,00 + 0,55 = 2,55m</t>
  </si>
  <si>
    <t>REVESTIMENTO CERÂMICO PARA PAREDES INTERNAS COM PLACAS TIPO ESMALTADA EXTRA DE DIMENSÕES 20X20 CM APLICADAS EM AMBIENTES DE ÁREA MENOR QUE 5 M² A MEIA ALTURA DAS PAREDES.</t>
  </si>
  <si>
    <t>Salão 01</t>
  </si>
  <si>
    <t>Subsolo (Retirado do Projeto)</t>
  </si>
  <si>
    <t>Circulação da Escada</t>
  </si>
  <si>
    <t>Sala 01</t>
  </si>
  <si>
    <t>Salão 02 / Circulação</t>
  </si>
  <si>
    <t>Sala 06</t>
  </si>
  <si>
    <t>Circulação</t>
  </si>
  <si>
    <t>Salão 03</t>
  </si>
  <si>
    <t>13.398.0030-0</t>
  </si>
  <si>
    <t>Rodapé de ipê ou madeira equivalente de 10 x 2cm acabamento boleado, pregado em tacos embutidos na alvenaria</t>
  </si>
  <si>
    <t>PREÇO UNIT. S/ BDI</t>
  </si>
  <si>
    <t>PREÇO UNIT. C/ BDI</t>
  </si>
  <si>
    <t>PREÇO TOTAL S/ BDI</t>
  </si>
  <si>
    <t>PREÇO TOTAL C/ BDI</t>
  </si>
  <si>
    <t>COMPOSIÇÃO ANALÍTICA DE LDI OU BDI</t>
  </si>
  <si>
    <t xml:space="preserve">Nº do Contrato de Repasse: </t>
  </si>
  <si>
    <t xml:space="preserve">Proponente: </t>
  </si>
  <si>
    <t xml:space="preserve">Empreendimento: </t>
  </si>
  <si>
    <t>Elaboração de projeto básico de engenharia para aproveitamento hidro-agrícola, com sistema de abastecimento de água bruta, em benefício de comunidades rurais localizadas no entorno da região do Baixio de Poço do Magro e adjacências, no município de Guanambi, no Estado da Bahia.</t>
  </si>
  <si>
    <t>Tipo de Obra:</t>
  </si>
  <si>
    <t>Fornecimento de Materiais e Equipamentos</t>
  </si>
  <si>
    <t>Base de Cálculo do ISS da Prefeitura:</t>
  </si>
  <si>
    <t>Orçamento Desonerado? (Sim ou Não)</t>
  </si>
  <si>
    <t>sim</t>
  </si>
  <si>
    <t>DESCRIÇÃO</t>
  </si>
  <si>
    <t>VALORES DE REFERÊNCIA - %</t>
  </si>
  <si>
    <t>BDI ADOTADO - %</t>
  </si>
  <si>
    <t>(1° Quartil)</t>
  </si>
  <si>
    <t>MÉDIA</t>
  </si>
  <si>
    <t>(3° Quartil)</t>
  </si>
  <si>
    <t>Administração Central</t>
  </si>
  <si>
    <t>Seguros e Garantias (*)</t>
  </si>
  <si>
    <t>Riscos</t>
  </si>
  <si>
    <t>Despesas Financeiras</t>
  </si>
  <si>
    <t>Lucro</t>
  </si>
  <si>
    <t>COFINS</t>
  </si>
  <si>
    <t>PIS</t>
  </si>
  <si>
    <t>ISS (**)</t>
  </si>
  <si>
    <t>LIMITE BDI C/ DESONERAÇÃO</t>
  </si>
  <si>
    <t>LIMITE BDI S/ DESONERAÇÃO</t>
  </si>
  <si>
    <t>Fonte da composição, valores de referência e fórmula do BDI:  Acórdão 2622/2013-TCU-Plenário</t>
  </si>
  <si>
    <t>Desoneração: Lei n°13.161/2015</t>
  </si>
  <si>
    <t>Verificação do  BDI:</t>
  </si>
  <si>
    <t>BDI S/ DESN</t>
  </si>
  <si>
    <t>BDI C/ DESN</t>
  </si>
  <si>
    <t>Os valores de BDI acima foram calculados com emprego da fórmula abaixo:</t>
  </si>
  <si>
    <t>Onde:</t>
  </si>
  <si>
    <t>AC = taxa de rateio da Administração Central;</t>
  </si>
  <si>
    <t>DF = taxa das despesas financeiras;</t>
  </si>
  <si>
    <t>R, S, G = taxa de risco, seguro e garantia do empreendimento;</t>
  </si>
  <si>
    <t>I = taxa de tributos (Onerado: I = COFINS+PIS+ISS / Desonerado: I = COFINS+PIS+ISS+CPRB);</t>
  </si>
  <si>
    <t>L = taxa de lucro.</t>
  </si>
  <si>
    <t xml:space="preserve">Profissional: </t>
  </si>
  <si>
    <t>Resp. Tomador:</t>
  </si>
  <si>
    <t xml:space="preserve">CREA/CAU: </t>
  </si>
  <si>
    <t>Cargo:</t>
  </si>
  <si>
    <t>Sigla S/N</t>
  </si>
  <si>
    <t>SIM</t>
  </si>
  <si>
    <t>NÃO</t>
  </si>
  <si>
    <t>AC</t>
  </si>
  <si>
    <t>SG</t>
  </si>
  <si>
    <t>R</t>
  </si>
  <si>
    <t>DF</t>
  </si>
  <si>
    <t>L</t>
  </si>
  <si>
    <t>ISS</t>
  </si>
  <si>
    <t>DESON.</t>
  </si>
  <si>
    <t>LIMITE BDI</t>
  </si>
  <si>
    <t>Sigla Obras</t>
  </si>
  <si>
    <t>MÍN</t>
  </si>
  <si>
    <t>MED</t>
  </si>
  <si>
    <t>MAX</t>
  </si>
  <si>
    <t>Construção de Edifícios e Reformas (Quadras, unidades habitacionais, escolas, restaurantes, etc)</t>
  </si>
  <si>
    <t>Construção de Praças</t>
  </si>
  <si>
    <t>Construção de Rodovias (Pavimentação Urbana)</t>
  </si>
  <si>
    <t>Construção de Ferrovias</t>
  </si>
  <si>
    <t>Construção de Redes de Abastecimento de Água, Coleta de Esgoto e Construções Correlatas</t>
  </si>
  <si>
    <t>Construção e Manutenção de Estações e Redes de Distribuição de Energia Elétrica</t>
  </si>
  <si>
    <t>Portuárias, Marítimas e Fluviais</t>
  </si>
  <si>
    <t>9.3</t>
  </si>
  <si>
    <t>14.004.0120-A</t>
  </si>
  <si>
    <t>Vidro temperado incolor, com 10mm de espessura</t>
  </si>
  <si>
    <t>15.018.0512-A</t>
  </si>
  <si>
    <t>ELETROCALHA PERFURADA, COM TAMPA TIPO "U", 300X100MM, TRATAMENTO SUPERFICIAL PRE-ZINCADO A QUENTE, INCLUSIVE CONEXOES, ACESSORIOS E FIXACAO SUPERIOR. FORNECIMENTO E COLOCACAO</t>
  </si>
  <si>
    <t>M</t>
  </si>
  <si>
    <t>15.018.0498-A</t>
  </si>
  <si>
    <t>ELETROCALHA PERFURADA, COM TAMPA, TIPO "U", 50X50MM, TRATAMENTO SUPERFICIAL PRE-ZINCADO A QUENTE, INCLUSIVE CONEXOES ,ACESSORIOS E FIXACAO SUPERIOR. FORNECIMENTO E COLOCACAO</t>
  </si>
  <si>
    <t>15.018.0175-A</t>
  </si>
  <si>
    <t>CANALETA PERFURADA ALTA (PERFILADOS), MEDINDO (38X38)MM PRE-GALVANIZADA, INCLUSIVE SUPORTE E CONEXOES. FORNECIMENTO E COLOCACAO</t>
  </si>
  <si>
    <t>15.019.0050-A</t>
  </si>
  <si>
    <t>TOMADA ELETRICA 2P+T, 10A/250V, PADRAO BRASILEIRO, DE EMBUTIR, COM PLACA 4"X2". FORNECIMENTO E COLOCACAO.</t>
  </si>
  <si>
    <t>UN</t>
  </si>
  <si>
    <t>18.027.0520-A</t>
  </si>
  <si>
    <t>LUMINARIA LED TUBULAR DE EMBUTIR, 2X18W (INCLUSIVE LAMPADAS), CORPO EM CHAPA DE ACO TRATADA E PINTURA ELETROSTATICA BRANCA, REFLETOR EM ALUMINIO DE ALTO BRILHO, COM VISOR ACRILICO TRANSLUCIDO, SEM REATOR. FORNECIMENTO E COLOCACAO</t>
  </si>
  <si>
    <t>18.027.0496-A</t>
  </si>
  <si>
    <t>LUMINARIA LED TUBULAR DE SOBREPOR, 2X18W (INCLUSIVE LAMPADAS),CORPO EM CHAPA DE ACO TRATADA E PINTURA ELETROSTATICA BRANCA, REFLETOR EM ALUMINIO DE ALTO BRILHO, COM VISOR ACRILICOTRANSLUCIDO, SEM REATOR. FORNECIMENTO E COLOCACAO</t>
  </si>
  <si>
    <t>18.027.0490-A</t>
  </si>
  <si>
    <t>LUMINARIA LED TUBULAR DE SOBREPOR, 2X9W (INCLUSIVE LAMPADAS),CORPO EM CHAPA DE ACO TRATADA E PINTURA ELETROSTATICA BRANCA, REFLETOR EM ALUMINIO DE ALTO BRILHO, COM VISOR ACRILICO TRANSLUCIDO, SEM REATOR. FORNECIMENTO E COLOCACAO</t>
  </si>
  <si>
    <t>15.007.0507-A</t>
  </si>
  <si>
    <t>QUADRO DE DISTRIBUICAO DE ENERGIA,100A,PARA DISJUNTORES TERMO-MAGNETICOS UNIPOLARES,DE EMBUTIR,COM PORTA E BARRAMENTOS DE FASE,NEUTRO E TERRA,TRIFASICO,PARA INSTALACAO DE ATE 24 DISJUNTORES COM DISPOSITIVO PARA CHAVE GERAL.FORNECIMENTO E COLOCACAO</t>
  </si>
  <si>
    <t>15.019.0020-A</t>
  </si>
  <si>
    <t>INTERRUPTOR DE EMBUTIR COM 1 TECLA SIMPLES FOSFORESCENTE E PLACA. FORNECIMENTO E COLOCACAO</t>
  </si>
  <si>
    <t>15.019.0030-A</t>
  </si>
  <si>
    <t>INTERRUPTOR DE EMBUTIR COM 3 TECLAS SIMPLES FOSFORESCENTES E PLACA. FORNECIMENTO E COLOCACAO</t>
  </si>
  <si>
    <t>15.019.0025-A</t>
  </si>
  <si>
    <t>INTERRUPTOR DE EMBUTIR COM 2 TECLAS SIMPLES FOSFORESCENTES E PLACA. FORNECIMENTO E COLOCACAO</t>
  </si>
  <si>
    <t>15.019.0035-A</t>
  </si>
  <si>
    <t>INTERRUPTOR THREE-WAY DE EMBUTIR COM TECLA FOSFORESCENTE, INCLUSIVE PLACA. FORNECIMENTO E COLOCACAO</t>
  </si>
  <si>
    <t>15.007.0570-A</t>
  </si>
  <si>
    <t>DISJUNTOR TERMOMAGNETICO UNIPOLAR, DE 16AX250V. FORNECIMENTO E COLOCACAO</t>
  </si>
  <si>
    <t>DISJUNTOR TERMOMAGNETICO UNIPOLAR, DE 25AX250V. FORNECIMENTO E COLOCACAO</t>
  </si>
  <si>
    <t>15.007.0605-A</t>
  </si>
  <si>
    <t>DISJUNTOR TERMOMAGNETICO, TRIPOLAR, DE 63AX250V. FORNECIMENTO E COLOCACAO</t>
  </si>
  <si>
    <t>DISJUNTOR TERMOMAGNETICO UNIPOLAR, DE 10AX250V. FORNECIMENTO E COLOCACAO</t>
  </si>
  <si>
    <t>DISJUNTOR TERMOMAGNETICO UNIPOLAR, DE 20AX250V. FORNECIMENTO E COLOCACAO</t>
  </si>
  <si>
    <t>15.007.0575-A</t>
  </si>
  <si>
    <t>DISJUNTOR TERMOMAGNETICO, BIPOLAR, DE 16AX250V. FORNECIMENTO E COLOCACAO</t>
  </si>
  <si>
    <t>DISJUNTOR TERMOMAGNETICO, BIPOLAR, DE 10AX250V. FORNECIMENTO E COLOCACAO</t>
  </si>
  <si>
    <t>DISJUNTOR TERMOMAGNETICO, BIPOLAR, DE 20AX250V. FORNECIMENTO E COLOCACAO</t>
  </si>
  <si>
    <t>DISJUNTOR TERMOMAGNETICO, TRIPOLAR, DE 70AX250V. FORNECIMENTO E COLOCACAO</t>
  </si>
  <si>
    <t>DISJUNTOR TERMOMAGNETICO, TRIPOLAR, DE 100AX250V. FORNECIMENTO E COLOCACAO</t>
  </si>
  <si>
    <t>15.008.0135-A</t>
  </si>
  <si>
    <t>CABO DE COBRE FLEXIVEL COM ISOLAMENTO TERMOPLASTICO, COMPREENDENDO: PREPARO, CORTE E ENFIACAO EM ELETRODUTOS, NA BITOLA DE 150MM2, 450/750V. FORNECIMENTO E COLOCACAO (VERDE)</t>
  </si>
  <si>
    <t>15.007.0204-A</t>
  </si>
  <si>
    <t>HASTE PARA ATERRAMENTO, DE COBRE DE 3/4" (19MM), COM 3,00M DE COMPRIMENTO. FORNECIMENTO E COLOCACAO</t>
  </si>
  <si>
    <t>15.017.0230-A</t>
  </si>
  <si>
    <t>CONECTOR FABRICADO EM BRONZE PARA ATERRAMENTO, PARA FIXACAO DE UM OU DOIS CONDUTORES A SUPERFICIE PLANA, PARA CABOS COM BITOLAS DE 6 A 35MM2. FORNECIMENTO E COLOCACAO</t>
  </si>
  <si>
    <t>15.001.0028-A</t>
  </si>
  <si>
    <t>CAIXA DE ALVENARIA EM TIJOLOS MACICOS (7X10X20CM), EM PAREDES DE MEIA VEZ, COM DIMENSOES DE 0,60X0,60X0,40M, ASSENTADA COM ARGAMASSA DE CIMENTO E AREIA, NO TRACO 1:4, REVESTIDA INTERNAMENTE COM A MESMA ARGAMASSA, COM FUNDO DE CONCRETO E TAMPA DE CONCRETO ARMADO</t>
  </si>
  <si>
    <t>15.018.0133-A</t>
  </si>
  <si>
    <t>CAIXA DE ATERRAMENTO, EM PVC, MEDINDO APROXIMADAMENTE 25X25CM. FORNECIMENTO E COLOCACAO</t>
  </si>
  <si>
    <t>15.045.0110-A</t>
  </si>
  <si>
    <t>ABERTURA E FECHAMENTO MANUAL DE RASGO EM ALVENARIA, PARA PASSAGEM DE  TUBOS E DUTOS, COM DIAMETRO DE 1/2" A 1"</t>
  </si>
  <si>
    <t>05.105.0013-A</t>
  </si>
  <si>
    <t>MAO-DE-OBRA DE ELETRICISTA,INCLUSIVE ENCARGOS SOCIAIS</t>
  </si>
  <si>
    <t>H</t>
  </si>
  <si>
    <t>05.105.0016-A</t>
  </si>
  <si>
    <t>MAO-DE-OBRA DE AJUDANTE,INCLUSIVE ENCARGOS SOCIAIS</t>
  </si>
  <si>
    <t>QGBT C/ BARRAMENTO 450A P/ 7 DISJUNTORES TRIPOLAR E GERAL DE 400A TRIPOLAR</t>
  </si>
  <si>
    <t>03.001.0001-B</t>
  </si>
  <si>
    <t>ESCAVACAO MANUAL DE VALA/CAVA EM MATERIAL DE 1ª CATEGORIA (A(AREIA,ARGILA OU PICARRA),ATE 1,50M DE PROFUNDIDADE,EXCLUSIVE ESCORAMENTO E ESGOTAMENTO</t>
  </si>
  <si>
    <t>M3</t>
  </si>
  <si>
    <t>QGBT C/ BARRAMENTO DE 400A P/ CHAVE GERAL E 5 DISJUNTORES (VIDE MEMORIAL DESCRITIVO)</t>
  </si>
  <si>
    <t>21.003.0052-A</t>
  </si>
  <si>
    <t>POSTE DE ACO,RETO,CONICO CONTINUO,ALTURA DE 3,50M,SEM SAPATA.FORNECIMENTO</t>
  </si>
  <si>
    <t>21.001.0160-A</t>
  </si>
  <si>
    <t>ASSENTAMENTO DE POSTE RETO, DE ACO DE 3,50 ATE 6,00M, COM FLANGE DE ACO SOLDADO NA SUA BASE, FIXADO POR PARAFUSOS CHUMBADORES ENGASTADOS EM FUNDACAO DE CONCRETO, EXCLUSIVE FUNDACAO E FORNECIMENTO DO POSTE CONCRETO, EXCLUSIVE FUNDACAO E FORNECIMENTO DO POSTE</t>
  </si>
  <si>
    <t>18.260.0046-A</t>
  </si>
  <si>
    <t>BRACO PARA ILUMINACAO DE RUAS,EM TUBO DE ACO GALVANIZADO COMDIAMETRO DE=60,3MM,PARA FIXACAO EM POSTE OU PAREDE,PROJECAOHORIZONTAL=2530MM,PROJECAO VERTICAL=2180MM.FORNECIMENTO E COLOCACAO</t>
  </si>
  <si>
    <t>LUMINARIA PUBLICA DE LED DE 40W 5700K, BRAÇO AJUSTAVEL, BASE RELE IP66 120-127V 50/60HZ, CORPO DE ALUMINIO C/ SUPORTE DE FIXAÇAO EM BRAÇO DE 42 A 60,3MM</t>
  </si>
  <si>
    <t>15.037.0013-A</t>
  </si>
  <si>
    <t>CONDUITE FLEXIVEL,GALVANIZADO,COM DIAMETRO DE 1.1/4",EXCLUSIVE EMENDAS.FORNECIMENTO E ASSENTAMENTO</t>
  </si>
  <si>
    <t>CAIXA RETANGULAR 4" X 2"  - FORNECIMENTO E INSTALAÇÃO. AF_12/2015</t>
  </si>
  <si>
    <t>15.037.0011-A</t>
  </si>
  <si>
    <t>CONDUITE FLEXIVEL,GALVANIZADO,COM DIAMETRO DE 3/4",EXCLUSIVEEMENDAS.FORNECIMENTO E ASSENTAMENTO</t>
  </si>
  <si>
    <t>15.008.0085-A</t>
  </si>
  <si>
    <t>CABO DE COBRE FLEXIVEL COM ISOLAMENTO TERMOPLASTICO,COMPREENDENDO:PREPARO,CORTE E ENFIACAO EM ELETRODUTOS,NA BITOLA DE 2,5MM2, 450/750V.FORNECIMENTO E  COLOCACAO</t>
  </si>
  <si>
    <t>15.008.0090-A</t>
  </si>
  <si>
    <t>CABO DE COBRE FLEXIVEL COM ISOLAMENTO TERMOPLASTICO,COMPREENDENDO:PREPARO,CORTE E ENFIACAO EM ELETRODUTOS NA BITOLA DE 4MM2, 450/750V.FORNECIMENTO E COLOCACAO</t>
  </si>
  <si>
    <t>15.007.0518-A</t>
  </si>
  <si>
    <t>QUADRO DE DISTRIBUICAO DE ENERGIA,150A,PARA DISJUNTORES TERMO-MAGNETICOS UNIPOLARES,DE EMBUTIR,COM PORTA E BARRAMENTOS DE FASE,NEUTRO E TERRA,TRIFASICO,PARA INSTALACAO DE ATE 70 DISJUNTORES COM DISPOSITIVO PARA CHAVE GERAL.FORNECIMENTO E COLOCACAO</t>
  </si>
  <si>
    <t>CABO DE COBRE FLEXIVEL COM ISOLAMENTO TERMOPLASTICO, COMPREENDENDO: PREPARO, CORTE E ENFIACAO EM ELETRODUTOS, NA BITOLA DE 150MM2, 450/750V. FORNECIMENTO E COLOCACAO (PRETO)</t>
  </si>
  <si>
    <t>CABO DE COBRE FLEXIVEL COM ISOLAMENTO TERMOPLASTICO, COMPREENDENDO: PREPARO, CORTE E ENFIACAO EM ELETRODUTOS, NA BITOLA DE 150MM2, 450/750V. FORNECIMENTO E COLOCACAO (AZUL)</t>
  </si>
  <si>
    <t>15.008.0125-A</t>
  </si>
  <si>
    <t>CABO DE COBRE FLEXIVEL COM ISOLAMENTO TERMOPLASTICO,COMPREENDENDO:PREPARO,CORTE E ENFIACAO EM ELETRODUTOS,NA BITOLA DE 95MM2, 450/750V.FORNECIMENTO E COLOCACAO (VERDE)</t>
  </si>
  <si>
    <t>15.008.0112-A</t>
  </si>
  <si>
    <t>CABO DE COBRE FLEXIVEL COM ISOLAMENTO TERMOPLASTICO,COMPREENDENDO:PREPARO,CORTE E ENFIACAO EM ELETRODUTOS,NA BITOLA DE 35MM2, 450/750V.FORNECIMENTO E COLOCACAO (PRETO)</t>
  </si>
  <si>
    <t>CABO DE COBRE FLEXIVEL COM ISOLAMENTO TERMOPLASTICO,COMPREENDENDO:PREPARO,CORTE E ENFIACAO EM ELETRODUTOS,NA BITOLA DE 35MM2, 450/750V.FORNECIMENTO E COLOCACAO (AZUL)</t>
  </si>
  <si>
    <t>15.008.0105-A</t>
  </si>
  <si>
    <t>CABO DE COBRE FLEXIVEL COM ISOLAMENTO TERMOPLASTICO,COMPREENDENDO:PREPARO,CORTE E ENFIACAO EM ELETRODUTOS,NA BITOLA DE 16MM2, 450/750V.FORNECIMENTO E COLOCACAO (VERDE)</t>
  </si>
  <si>
    <t>CABO DE COBRE FLEXIVEL COM ISOLAMENTO TERMOPLASTICO,COMPREENDENDO:PREPARO,CORTE E ENFIACAO EM ELETRODUTOS,NA BITOLA DE 16MM2, 450/750V.FORNECIMENTO E COLOCACAO (PRETO)</t>
  </si>
  <si>
    <t>CABO DE COBRE FLEXIVEL COM ISOLAMENTO TERMOPLASTICO,COMPREENDENDO:PREPARO,CORTE E ENFIACAO EM ELETRODUTOS,NA BITOLA DE 16MM2, 450/750V.FORNECIMENTO E COLOCACAO (AZUL)</t>
  </si>
  <si>
    <t>15.008.0110-A</t>
  </si>
  <si>
    <t>CABO DE COBRE FLEXIVEL COM ISOLAMENTO TERMOPLASTICO,COMPREENDENDO:PREPARO,CORTE E ENFIACAO EM ELETRODUTOS,NA BITOLA DE 25MM2, 450/750V.FORNECIMENTO E COLOCACAO (PRETO)</t>
  </si>
  <si>
    <t>CABO DE COBRE FLEXIVEL COM ISOLAMENTO TERMOPLASTICO,COMPREENDENDO:PREPARO,CORTE E ENFIACAO EM ELETRODUTOS,NA BITOLA DE 25MM2, 450/750V.FORNECIMENTO E COLOCACAO (AZUL)</t>
  </si>
  <si>
    <t>CABO DE COBRE FLEXIVEL COM ISOLAMENTO TERMOPLASTICO,COMPREENDENDO:PREPARO,CORTE E ENFIACAO EM ELETRODUTOS,NA BITOLA DE 25MM2, 450/750V.FORNECIMENTO E COLOCACAO (VERDE)</t>
  </si>
  <si>
    <t>15.007.0611-A</t>
  </si>
  <si>
    <t>DISJUNTOR TERMOMAGNETICO,TRIPOLAR,DE 300 A 400AX250V.FORNECIMENTO E COLOCACAO</t>
  </si>
  <si>
    <t>15.036.0077-A</t>
  </si>
  <si>
    <t>ELETRODUTO DE PVC RIGIDO ROSQUEAVEL DE 4", INCLUSIVE CONEXOESE EMENDAS, EXCLUSIVE ABERTURA E FECHAMENTO DE RASGO. FORNECIMENTO E ASSENTAMENTO</t>
  </si>
  <si>
    <t>CABINE CSMA600 C/ DISJUNTOR GERAL DE 400A. FORNECIMENTO E INSTALAÇAO (VIDE MEMORIAL DESCRITIVO)</t>
  </si>
  <si>
    <t>15.036.0073-A</t>
  </si>
  <si>
    <t>ELETRODUTO DE PVC RIGIDO ROSQUEAVEL DE 1.1/2", INCLUSIVE CONEXOES E EMENDAS, EXCLUSIVE ABERTURA E FECHAMENTO DE RASGO. FORNECIMENTO E ASSENTAMENTO</t>
  </si>
  <si>
    <t>15.036.0074-A</t>
  </si>
  <si>
    <t>ELETRODUTO DE PVC RIGIDO ROSQUEAVEL DE 2", INCLUSIVE CONEXOESE EMENDAS, EXCLUSIVE ABERTURA E FECHAMENTO DE RASGO. FORNECIMENTO E ASSENTAMENTO</t>
  </si>
  <si>
    <t>15.003.0395-A</t>
  </si>
  <si>
    <t>ABRACADEIRA DE FIXACAO, TIPO COPO, ESTAMPADA EM CHAPA DE FERROZINCADA, COMPOSTA DE CANOPLA, PARAFUSOS E ABRACADEIRAS PROPRIAMENTE DITA, NO DIAMETRO 2". FORNECIMENTO E COLOCACAO</t>
  </si>
  <si>
    <t>15.008.0115-A</t>
  </si>
  <si>
    <t>CABO DE COBRE FLEXIVEL COM ISOLAMENTO TERMOPLASTICO,COMPREENDENDO:PREPARO,CORTE E ENFIACAO EM ELETRODUTOS,NA BITOLA DE 50MM2, 450/750V.FORNECIMENTO E COLOCACAO (PRETO)</t>
  </si>
  <si>
    <t>CABO DE COBRE FLEXIVEL COM ISOLAMENTO TERMOPLASTICO,COMPREENDENDO:PREPARO,CORTE E ENFIACAO EM ELETRODUTOS,NA BITOLA DE 50MM2, 450/750V.FORNECIMENTO E COLOCACAO (AZUL)</t>
  </si>
  <si>
    <t>ELETRICA</t>
  </si>
  <si>
    <t>12.1.1</t>
  </si>
  <si>
    <t>12.1.2</t>
  </si>
  <si>
    <t>12.1.3</t>
  </si>
  <si>
    <t>12.1.4</t>
  </si>
  <si>
    <t>12.1.5</t>
  </si>
  <si>
    <t>12.1.6</t>
  </si>
  <si>
    <t>12.1.7</t>
  </si>
  <si>
    <t>12.1.8</t>
  </si>
  <si>
    <t>12.1.9</t>
  </si>
  <si>
    <t>12.1.10</t>
  </si>
  <si>
    <t>12.1.11</t>
  </si>
  <si>
    <t>12.1.12</t>
  </si>
  <si>
    <t>12.1.13</t>
  </si>
  <si>
    <t>12.1.14</t>
  </si>
  <si>
    <t>12.1.15</t>
  </si>
  <si>
    <t>12.1.16</t>
  </si>
  <si>
    <t>12.1.17</t>
  </si>
  <si>
    <t>12.1.18</t>
  </si>
  <si>
    <t>12.1.19</t>
  </si>
  <si>
    <t>12.1.20</t>
  </si>
  <si>
    <t>12.1.21</t>
  </si>
  <si>
    <t>12.1.22</t>
  </si>
  <si>
    <t>12.1.23</t>
  </si>
  <si>
    <t>12.1.24</t>
  </si>
  <si>
    <t>12.1.25</t>
  </si>
  <si>
    <t>12.1.26</t>
  </si>
  <si>
    <t>12.1.27</t>
  </si>
  <si>
    <t>12.1.28</t>
  </si>
  <si>
    <t>12.1.29</t>
  </si>
  <si>
    <t>12.1.30</t>
  </si>
  <si>
    <t>12.1.31</t>
  </si>
  <si>
    <t>12.1.32</t>
  </si>
  <si>
    <t>12.1.33</t>
  </si>
  <si>
    <t>12.1.34</t>
  </si>
  <si>
    <t>12.1.35</t>
  </si>
  <si>
    <t>12.1.36</t>
  </si>
  <si>
    <t>12.1.37</t>
  </si>
  <si>
    <t>12.1.38</t>
  </si>
  <si>
    <t>12.1.39</t>
  </si>
  <si>
    <t>12.1.40</t>
  </si>
  <si>
    <t>12.1.41</t>
  </si>
  <si>
    <t>12.1.42</t>
  </si>
  <si>
    <t>12.1.43</t>
  </si>
  <si>
    <t>12.1.44</t>
  </si>
  <si>
    <t>12.1.45</t>
  </si>
  <si>
    <t>12.1.46</t>
  </si>
  <si>
    <t>12.1.47</t>
  </si>
  <si>
    <t>12.1.48</t>
  </si>
  <si>
    <t>12.1.49</t>
  </si>
  <si>
    <t>12.1.50</t>
  </si>
  <si>
    <t>12.1.51</t>
  </si>
  <si>
    <t>12.1.52</t>
  </si>
  <si>
    <t>12.1.53</t>
  </si>
  <si>
    <t>12.1.54</t>
  </si>
  <si>
    <t>12.1.55</t>
  </si>
  <si>
    <t>12.1.56</t>
  </si>
  <si>
    <t>12.1.57</t>
  </si>
  <si>
    <t>12.1.58</t>
  </si>
  <si>
    <t>12.1.59</t>
  </si>
  <si>
    <t>12.1.60</t>
  </si>
  <si>
    <t>12.1.61</t>
  </si>
  <si>
    <t>12.1.62</t>
  </si>
  <si>
    <t>LÓGICA</t>
  </si>
  <si>
    <t>CABO ELETRÔNICO CATEGORIA 6, INSTALADO EM EDIFICAÇÃO INSTITUCIONAL - FORNECIMENTO E INSTALAÇÃO. AF_03/2018</t>
  </si>
  <si>
    <t>15.018.0120-A</t>
  </si>
  <si>
    <t>CAIXA DE EMBUTIR,EM PVC,2"X4",INCLUSIVE BUCHAS E ARRUELAS.FORNECIMENTO E COLOCACAO</t>
  </si>
  <si>
    <t>15.019.0070-A</t>
  </si>
  <si>
    <t>ESPELHO PLASTICO 4"X2".FORNECIMENTO E COLOCACAO</t>
  </si>
  <si>
    <t>15.036.0080-A</t>
  </si>
  <si>
    <t>ELETRODUTO DE PVC ESPIRAL CORRUGADO, DIAMETRO DE 1", INCLUSIVE CONEXOES E EMENDAS. FORNECIMENTO E INSTALACAO</t>
  </si>
  <si>
    <t>15.018.0510-A</t>
  </si>
  <si>
    <t>ELETROCALHA PERFURADA, COM TAMPA, TIPO "U", 150X100MM, TRATAMENTO SUPERFICIAL PRE-ZINCADO A QUENTE, INCLUSIVE CONEXOES, ACESSORIOS E FIXACAO SUPERIOR. FORNECIMENTO E COLOCACAO</t>
  </si>
  <si>
    <t>15.018.0499-A</t>
  </si>
  <si>
    <t>ELETROCALHA PERFURADA, COM TAMPA, TIPO "U", 100X50MM, TRATAMENTO SUPERFICIAL PRE-ZINCADO A QUENTE, INCLUSIVE CONEXOES, ACESSORIOS E FIXACAO SUPERIOR. FORNECIMENTO E COLOCACAO</t>
  </si>
  <si>
    <t>15.018.0872-A</t>
  </si>
  <si>
    <t>REDUCAO CONCENTRICA,PARA ELETROCALHA PERFURADA OU LISA,150X50MM.FORNECIMENTO E COLOCACAO</t>
  </si>
  <si>
    <t>15.019.0095-A</t>
  </si>
  <si>
    <t>TOMADA TIPO RJ45,DE EMBUTIR,COMPLETA,PARA LOGICA.FORNECIMENTO E COLOCACAO</t>
  </si>
  <si>
    <t>12.2.1</t>
  </si>
  <si>
    <t>12.2.3</t>
  </si>
  <si>
    <t>12.2.5</t>
  </si>
  <si>
    <t>12.2.6</t>
  </si>
  <si>
    <t>12.2.7</t>
  </si>
  <si>
    <t>12.2.8</t>
  </si>
  <si>
    <t>12.2.9</t>
  </si>
  <si>
    <t>12.2.10</t>
  </si>
  <si>
    <t>Eletrica e logica</t>
  </si>
  <si>
    <t>Eletrica</t>
  </si>
  <si>
    <t>QGBT C/ BARRAMENTO 450A P/ 6 DISJUNTORES TRIPOLAR E GERAL DE 400A TRIPOLAR</t>
  </si>
  <si>
    <t>QGBT C/ BARRAMENTO280A P/ 1 DISJUNTOR GERAL DE 250A E 2 TRIPOLAR DE 125A</t>
  </si>
  <si>
    <t>LUMINARIA LED DE 40W BIVOLT. FORNECIMENTO E COLOCACAO</t>
  </si>
  <si>
    <t>CAIXA RETANGULAR 4" X 2" - FORNECIMENTO E INSTALAÇÃO. AF_12/2015</t>
  </si>
  <si>
    <t>15.007.0517-A</t>
  </si>
  <si>
    <t>QUADRO DE DISTRIBUICAO DE ENERGIA,150A,PARA DISJUNTORES TERMO-MAGNETICOS UNIPOLARES,DE EMBUTIR,COM PORTA E BARRAMENTOS DE FASE,NEUTRO E TERRA,TRIFASICO,PARA INSTALACAO DE ATE 50 DISJUNTORES COM DISPOSITIVO PARA CHAVE GERAL.FORNECIMENTO E COLOCACAO</t>
  </si>
  <si>
    <t>CABO DE COBRE FLEXIVEL COM ISOLAMENTO TERMOPLASTICO,COMPREENDENDO:PREPARO,CORTE E ENFIACAO EM ELETRODUTOS,NA BITOLA DE 50MM2, 450/750V.FORNECIMENTO E COLOCACAO</t>
  </si>
  <si>
    <t>12.1.01</t>
  </si>
  <si>
    <t>12.01.02</t>
  </si>
  <si>
    <t>12.1.03</t>
  </si>
  <si>
    <t>12.1.04</t>
  </si>
  <si>
    <t>12.1.05</t>
  </si>
  <si>
    <t>12.1.06</t>
  </si>
  <si>
    <t>12.1.07</t>
  </si>
  <si>
    <t>12.1.08</t>
  </si>
  <si>
    <t>12.1.09</t>
  </si>
  <si>
    <t>125.1.27</t>
  </si>
  <si>
    <t>Logica</t>
  </si>
  <si>
    <t>12.2.02</t>
  </si>
  <si>
    <t>12.2.03</t>
  </si>
  <si>
    <t>12.2.04</t>
  </si>
  <si>
    <t>12.2.05</t>
  </si>
  <si>
    <t>12.2.06</t>
  </si>
  <si>
    <t>12.2.07</t>
  </si>
  <si>
    <t>12.2.08</t>
  </si>
  <si>
    <t>14.2</t>
  </si>
  <si>
    <t>14.3</t>
  </si>
  <si>
    <t>14.4</t>
  </si>
  <si>
    <t>14.6</t>
  </si>
  <si>
    <t>14.7</t>
  </si>
  <si>
    <t>14.8</t>
  </si>
  <si>
    <t>14.9</t>
  </si>
  <si>
    <t>14.10</t>
  </si>
  <si>
    <t>14.11</t>
  </si>
  <si>
    <t>14.12</t>
  </si>
  <si>
    <t>14.13</t>
  </si>
  <si>
    <t>14.14</t>
  </si>
  <si>
    <t>14.15</t>
  </si>
  <si>
    <t>14.16</t>
  </si>
  <si>
    <t>ELÉTRICA , LOGICA E AR</t>
  </si>
  <si>
    <t>15.005.0201-A</t>
  </si>
  <si>
    <t>INSTALACAO DE INFRA ESTRUTURA PARA ASSENTAMENTO DE AR CONDICIONADO TIPO SPLIT DE 12000 BTU'S,COM 1 CONDENSADOR E 1 EVAPORADOR,(VIDE FORNECIMENTO DO APARELHO NA FAMILIA 18.030)INCLUSIVE ACESSORIOS DE FIXACAO,EXCLUSIVE ALIMENTACAO ELETRICA E INTERLIGACAO AO CONDENSAOR/EVAPORADOR</t>
  </si>
  <si>
    <t xml:space="preserve">UN    </t>
  </si>
  <si>
    <t>15.005.0202-A</t>
  </si>
  <si>
    <t>INSTALACAO DE INFRA ESTRUTURA PARA ASSENTAMENTO DE AR CONDICIONADO TIPO SPLIT DE 18000 BTU'S,COM 1 CONDENSADOR E 1 EVAPORADOR,(VIDE FORNECIMENTO DO APARELHO NA FAMILIA 18.030)INCLUSIVE ACESSORIOS DE FIXACAO,EXCLUSIVE ALIMENTACAO ELETRICA E INTERLIGACAO AO CONDENSAOR/EVAPORADOR</t>
  </si>
  <si>
    <t>15.005.0204-A</t>
  </si>
  <si>
    <t>INSTALACAO DE INFRA ESTRUTURA PARA ASSENTAMENTO DE AR CONDICIONADO TIPO SPLIT DE 24000 BTU'S,COM 1 CONDENSADOR E 1 EVAPORADOR,(VIDE FORNECIMENTO DO APARELHO NA FAMILIA 18.030)INCLUSIVE ACESSORIOS DE FIXACAO,EXCLUSIVE ALIMENTACAO ELETRICA E INTERLIGACAO AO CONDENSAOR/EVAPORADOR</t>
  </si>
  <si>
    <t>15.005.0255-A</t>
  </si>
  <si>
    <t>TUBULACAO EM COBRE PARA INTERLIGACAO DE SPLIT SYSTEM AO CONDENSADOR/EVAPORADOR, INCLUSIVE ISOLAMENTO TERMICO, ALIMENTACAO ELETRICA, CONEXOES E FIXACAO, PARA APARELHOS ATE 48000 BTU'S. FORNECIMENTO  (AR CONDICIONADO)</t>
  </si>
  <si>
    <t>DUTO PARA EXAUTÃO DE AR/VENTILAÇÃO , CHAVETADO EM AÇO GALVANIZA EM DIVERSAS BITOLAS.. FORNECIMENTO E COLOCAÇÃO</t>
  </si>
  <si>
    <t>Kg</t>
  </si>
  <si>
    <t>INSTALACAO DE INFRA ESTRUTURA PARA ASSENTAMENTO DE AR CONDICIONADO TIPO SPLIT DE 60000 BTU'S,COM 1 CONDENSADOR E 1 EVAPORADOR,(VIDE FORNECIMENTO DO APARELHO NA FAMILIA 18.030)INCLUSIVE ACESSORIOS DE FIXACAO,EXCLUSIVE ALIMENTACAO ELETRICA E INTERLIGACAO AO CONDENSAOR/EVAPORADOR</t>
  </si>
  <si>
    <t>15.005.0209-A</t>
  </si>
  <si>
    <t>02.020.0001-A</t>
  </si>
  <si>
    <t>02.002.0005-A</t>
  </si>
  <si>
    <t>05.001.0008-A</t>
  </si>
  <si>
    <t>05.001.0009-A</t>
  </si>
  <si>
    <t>05.001.0014-A</t>
  </si>
  <si>
    <t>05.001.0015-A</t>
  </si>
  <si>
    <t>05.001.0020-A</t>
  </si>
  <si>
    <t>05.001.0023-A</t>
  </si>
  <si>
    <t>05.002.0065-A</t>
  </si>
  <si>
    <t>05.001.0027-A</t>
  </si>
  <si>
    <t>05.001.0055-A</t>
  </si>
  <si>
    <t>05.001.0076-A</t>
  </si>
  <si>
    <t>05.001.0078-A</t>
  </si>
  <si>
    <t>05.001.0084-A</t>
  </si>
  <si>
    <t>05.001.0080-A</t>
  </si>
  <si>
    <t>05.001.0134-A</t>
  </si>
  <si>
    <t>05.001.0145-A</t>
  </si>
  <si>
    <t>05.001.0146-A</t>
  </si>
  <si>
    <t>05.001.0147-A</t>
  </si>
  <si>
    <t>05.006.0001-B</t>
  </si>
  <si>
    <t>04.020.0122-A</t>
  </si>
  <si>
    <t>04.021.0010-A</t>
  </si>
  <si>
    <t>05.005.0012-B</t>
  </si>
  <si>
    <t>05.008.0001-A</t>
  </si>
  <si>
    <t>05.007.0015-A</t>
  </si>
  <si>
    <t>05.008.0004-A</t>
  </si>
  <si>
    <t>05.001.0170-A</t>
  </si>
  <si>
    <t>05.001.0300-A</t>
  </si>
  <si>
    <t>05.001.0450-A</t>
  </si>
  <si>
    <t>11.003.0002-A</t>
  </si>
  <si>
    <t>11.009.0011-A</t>
  </si>
  <si>
    <t>11.011.0027-A</t>
  </si>
  <si>
    <t>11.013.0003-B</t>
  </si>
  <si>
    <t>11.013.0070-B</t>
  </si>
  <si>
    <t>11.004.0053-B</t>
  </si>
  <si>
    <t>12.003.0070-A</t>
  </si>
  <si>
    <t>12.002.0080-A</t>
  </si>
  <si>
    <t>12.016.0004-A</t>
  </si>
  <si>
    <t>12.025.0001-A</t>
  </si>
  <si>
    <t>13.001.0010-B</t>
  </si>
  <si>
    <t>13.001.0041-A</t>
  </si>
  <si>
    <t>13.008.0010-A</t>
  </si>
  <si>
    <t>13.030.0200-A</t>
  </si>
  <si>
    <t>13.003.0005-A</t>
  </si>
  <si>
    <t>13.180.0015-B</t>
  </si>
  <si>
    <t>13.380.0010-A</t>
  </si>
  <si>
    <t>13.330.0075-A</t>
  </si>
  <si>
    <t>13.331.0015-A</t>
  </si>
  <si>
    <t>13.330.0100-A</t>
  </si>
  <si>
    <t>13.331.0050-A</t>
  </si>
  <si>
    <t>13.398.0030-A</t>
  </si>
  <si>
    <t>13.348.0050-A</t>
  </si>
  <si>
    <t>13.348.0070-A</t>
  </si>
  <si>
    <t>13.330.0022-A</t>
  </si>
  <si>
    <t>13.365.0075-A</t>
  </si>
  <si>
    <t>14.003.0062-A</t>
  </si>
  <si>
    <t>14.003.0226-A</t>
  </si>
  <si>
    <t>15.004.0175-B</t>
  </si>
  <si>
    <t>15.004.0176-A</t>
  </si>
  <si>
    <t>15.004.0180-A</t>
  </si>
  <si>
    <t>15.003.0370-A</t>
  </si>
  <si>
    <t>15.004.0102-B</t>
  </si>
  <si>
    <t>15.004.0125-A</t>
  </si>
  <si>
    <t>15.004.0063-A</t>
  </si>
  <si>
    <t>15.004.0060-B</t>
  </si>
  <si>
    <t>15.004.0070-A</t>
  </si>
  <si>
    <t>15.004.0150-A</t>
  </si>
  <si>
    <t>15.003.0379-A</t>
  </si>
  <si>
    <t>11.016.0003-A</t>
  </si>
  <si>
    <t>16.011.0030-A</t>
  </si>
  <si>
    <t>16.012.0005-A</t>
  </si>
  <si>
    <t>16.005.0008-A</t>
  </si>
  <si>
    <t>16.020.0001-A</t>
  </si>
  <si>
    <t>12.3</t>
  </si>
  <si>
    <t>AR-CONDICIONADO</t>
  </si>
  <si>
    <t>15.005.0280-A</t>
  </si>
  <si>
    <t>17.018.0117-A</t>
  </si>
  <si>
    <t>17.018.0010-A</t>
  </si>
  <si>
    <t>17.018.0031-A</t>
  </si>
  <si>
    <t>17.017.0320-A</t>
  </si>
  <si>
    <t>17.020.0010-A</t>
  </si>
  <si>
    <t>17.020.0060-A</t>
  </si>
  <si>
    <t>18.016.0025-A</t>
  </si>
  <si>
    <t>18.009.0058-A</t>
  </si>
  <si>
    <t>18.084.0050-A</t>
  </si>
  <si>
    <t>18.081.0105-A</t>
  </si>
  <si>
    <t>18.070.0005-A</t>
  </si>
  <si>
    <t>18.002.0027-A</t>
  </si>
  <si>
    <t>18.002.0085-A</t>
  </si>
  <si>
    <t>18.016.0040-A</t>
  </si>
  <si>
    <t>18.009.0066-A</t>
  </si>
  <si>
    <t>18.002.0014-A</t>
  </si>
  <si>
    <t>18.002.0090-A</t>
  </si>
  <si>
    <t>18.016.0105-A</t>
  </si>
  <si>
    <t>18.016.0106-A</t>
  </si>
  <si>
    <t>18.084.0051-A</t>
  </si>
  <si>
    <t>18.003.0003-A</t>
  </si>
  <si>
    <t>18.040.0010-A</t>
  </si>
  <si>
    <t>BDI = 28,82%</t>
  </si>
  <si>
    <t>14.5</t>
  </si>
  <si>
    <t>Piso de marmorite, compreendendo:
a) Lastro, com 4cm de espessura média, de argamassa de cimento e areia grossa, no traço 1:4;
b) Camada de marmorite, com 1cm de espessura, feita com grana nº 1 de mármore branco nacional e cimento, superfície estucada após a fundição, com 3 polimentos mecânicos, exclusive junta</t>
  </si>
  <si>
    <t>12.3.1</t>
  </si>
  <si>
    <t>12.3.2</t>
  </si>
  <si>
    <t>12.3.3</t>
  </si>
  <si>
    <t>12.3.4</t>
  </si>
  <si>
    <t>12.3.5</t>
  </si>
  <si>
    <t>12.3.6</t>
  </si>
  <si>
    <t>13.026.0010-A</t>
  </si>
  <si>
    <t>Revestimento de paredes com azulejo branco 15 x 15cm, qualidade extra, assentes com nata de cimento comum, tendo juntas corridas com 2mm, rejuntadas com pasta de cimento branco, inclusive chapisco de cimento e areia, no traço 1:3 e emboço com argamassa de cimento, saibro e areia, no traço 1:3:3 com espessura 2,5cm</t>
  </si>
  <si>
    <t>13.024.0018-A</t>
  </si>
  <si>
    <t>Revestimento com pastilhas de vidro, 3 x 3cm, nas cores azul, verde, preto e branco, inclusive chapisco de cimento e areia, no traço 1:3, emboço com argamassa de cimento, saibro e areia, no traço 1:3:3, assentes e rejuntadas com pasta de cimento branco</t>
  </si>
  <si>
    <t>14.007.0266-A</t>
  </si>
  <si>
    <t>Ferragens para portas de abrir, de ferro ou alumínio, constando de fornecimento das peças, exclusive dobradiças:
-Fechadura de cilindro ovalado para montantes estreitos, em latão, acabamento cromado
-Espelho retangular, em latão, acabamento cromado ou roseta circular, em latão, acabamento cromado
-Maçaneta tipo alavanca, em latão, zamak ou aço zincado, acabamento cromado</t>
  </si>
  <si>
    <t>9.4</t>
  </si>
  <si>
    <t>PLANILHA ORÇAMENTÁRIA</t>
  </si>
  <si>
    <t>MEMÓRIA DE CÁLCULO</t>
  </si>
  <si>
    <r>
      <t xml:space="preserve">Local: </t>
    </r>
    <r>
      <rPr>
        <sz val="12"/>
        <color theme="1"/>
        <rFont val="Arial"/>
        <family val="2"/>
      </rPr>
      <t>Rua Dr. Luiz Antonio G. da Silveira, nº 15, Centro, Piraí/RJ.</t>
    </r>
  </si>
  <si>
    <r>
      <t xml:space="preserve">Objeto: </t>
    </r>
    <r>
      <rPr>
        <sz val="12"/>
        <color theme="1"/>
        <rFont val="Arial"/>
        <family val="2"/>
      </rPr>
      <t>Obra de Reforma do Fundo de Previdência Social Municipal de Piraí</t>
    </r>
  </si>
  <si>
    <t>Data Base:</t>
  </si>
  <si>
    <t>DISCRIMINAÇÃO</t>
  </si>
  <si>
    <t>DIAS</t>
  </si>
  <si>
    <t>%</t>
  </si>
  <si>
    <t>TOTAL ACUMULADO</t>
  </si>
  <si>
    <t>% ACUMULADO</t>
  </si>
  <si>
    <t>CRONOGRAMA FÍSICO-FINANCEIRO</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</si>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</sst>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 &quot;#,##0.00"/>
  </numFmts>
  <fonts count="44" x14ac:knownFonts="1">
    <font>
      <sz val="11"/>
      <color theme="1"/>
      <name val="Calibri"/>
      <family val="2"/>
      <scheme val="minor"/>
    </font>
    <font>
      <sz val="10"/>
      <name val="Arial"/>
      <family val="2"/>
    </font>
    <font>
      <sz val="11"/>
      <color theme="1"/>
      <name val="Arial"/>
      <family val="2"/>
    </font>
    <font>
      <b/>
      <sz val="10"/>
      <name val="Arial"/>
      <family val="2"/>
    </font>
    <font>
      <sz val="10"/>
      <color theme="1"/>
      <name val="Arial"/>
      <family val="2"/>
    </font>
    <font>
      <b/>
      <sz val="10"/>
      <color theme="1"/>
      <name val="Arial"/>
      <family val="2"/>
    </font>
    <font>
      <sz val="9"/>
      <color theme="1"/>
      <name val="Arial"/>
      <family val="2"/>
    </font>
    <font>
      <sz val="9"/>
      <color rgb="FF000000"/>
      <name val="Arial"/>
      <family val="2"/>
    </font>
    <font>
      <b/>
      <sz val="9"/>
      <color rgb="FF000000"/>
      <name val="Arial"/>
      <family val="2"/>
    </font>
    <font>
      <b/>
      <sz val="9"/>
      <color theme="1"/>
      <name val="Arial"/>
      <family val="2"/>
    </font>
    <font>
      <sz val="10"/>
      <color rgb="FF000000"/>
      <name val="Arial"/>
      <family val="2"/>
    </font>
    <font>
      <sz val="9"/>
      <name val="Arial"/>
      <family val="2"/>
    </font>
    <font>
      <sz val="12"/>
      <name val="Times New Roman"/>
      <family val="1"/>
    </font>
    <font>
      <sz val="10"/>
      <color indexed="10"/>
      <name val="Times New Roman"/>
      <family val="1"/>
    </font>
    <font>
      <sz val="12"/>
      <color indexed="10"/>
      <name val="Times New Roman"/>
      <family val="1"/>
    </font>
    <font>
      <b/>
      <sz val="12"/>
      <name val="Times New Roman"/>
      <family val="1"/>
    </font>
    <font>
      <b/>
      <sz val="6"/>
      <name val="Times New Roman"/>
      <family val="1"/>
    </font>
    <font>
      <sz val="6"/>
      <name val="Times New Roman"/>
      <family val="1"/>
    </font>
    <font>
      <b/>
      <sz val="10"/>
      <name val="Times New Roman"/>
      <family val="1"/>
    </font>
    <font>
      <sz val="10"/>
      <name val="Times New Roman"/>
      <family val="1"/>
    </font>
    <font>
      <sz val="10"/>
      <color indexed="18"/>
      <name val="Times New Roman"/>
      <family val="1"/>
    </font>
    <font>
      <sz val="10"/>
      <color indexed="55"/>
      <name val="Times New Roman"/>
      <family val="1"/>
    </font>
    <font>
      <sz val="10"/>
      <color indexed="22"/>
      <name val="Times New Roman"/>
      <family val="1"/>
    </font>
    <font>
      <sz val="6"/>
      <color indexed="54"/>
      <name val="Times New Roman"/>
      <family val="1"/>
    </font>
    <font>
      <sz val="6"/>
      <color indexed="22"/>
      <name val="Times New Roman"/>
      <family val="1"/>
    </font>
    <font>
      <sz val="6"/>
      <color indexed="55"/>
      <name val="Times New Roman"/>
      <family val="1"/>
    </font>
    <font>
      <sz val="10"/>
      <color indexed="9"/>
      <name val="Times New Roman"/>
      <family val="1"/>
    </font>
    <font>
      <sz val="11"/>
      <name val="Times New Roman"/>
      <family val="1"/>
    </font>
    <font>
      <u/>
      <sz val="11"/>
      <name val="Times New Roman"/>
      <family val="1"/>
    </font>
    <font>
      <b/>
      <sz val="12"/>
      <color indexed="18"/>
      <name val="Times New Roman"/>
      <family val="1"/>
    </font>
    <font>
      <sz val="6"/>
      <color indexed="18"/>
      <name val="Times New Roman"/>
      <family val="1"/>
    </font>
    <font>
      <i/>
      <sz val="11"/>
      <name val="Times New Roman"/>
      <family val="1"/>
    </font>
    <font>
      <b/>
      <sz val="12"/>
      <color theme="1"/>
      <name val="Arial"/>
      <family val="2"/>
    </font>
    <font>
      <sz val="10"/>
      <name val="Arial"/>
    </font>
    <font>
      <b/>
      <sz val="15"/>
      <color indexed="56"/>
      <name val="Calibri"/>
      <family val="2"/>
    </font>
    <font>
      <b/>
      <sz val="18"/>
      <color indexed="48"/>
      <name val="Cambria"/>
      <family val="2"/>
    </font>
    <font>
      <b/>
      <sz val="9"/>
      <name val="Arial"/>
      <family val="2"/>
    </font>
    <font>
      <sz val="9"/>
      <color indexed="10"/>
      <name val="Arial"/>
      <family val="2"/>
    </font>
    <font>
      <sz val="8"/>
      <name val="Calibri"/>
      <family val="2"/>
      <scheme val="minor"/>
    </font>
    <font>
      <b/>
      <u/>
      <sz val="22"/>
      <color rgb="FF008080"/>
      <name val="Arial"/>
      <family val="2"/>
    </font>
    <font>
      <sz val="12"/>
      <color theme="1"/>
      <name val="Arial"/>
      <family val="2"/>
    </font>
    <font>
      <b/>
      <sz val="14"/>
      <color theme="1"/>
      <name val="Arial"/>
      <family val="2"/>
    </font>
    <font>
      <sz val="11"/>
      <name val="Calibri"/>
      <family val="2"/>
      <scheme val="minor"/>
    </font>
    <font>
      <b/>
      <sz val="11"/>
      <name val="Calibri"/>
      <family val="2"/>
      <scheme val="minor"/>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theme="0" tint="-0.14999847407452621"/>
        <bgColor indexed="64"/>
      </patternFill>
    </fill>
    <fill>
      <patternFill patternType="solid">
        <fgColor indexed="9"/>
        <bgColor indexed="26"/>
      </patternFill>
    </fill>
  </fills>
  <borders count="82">
    <border>
      <left/>
      <right/>
      <top/>
      <bottom/>
      <diagonal/>
    </border>
    <border>
      <left style="thin">
        <color indexed="64"/>
      </left>
      <right style="thin">
        <color indexed="64"/>
      </right>
      <top style="double">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ouble">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medium">
        <color indexed="64"/>
      </bottom>
      <diagonal/>
    </border>
    <border>
      <left/>
      <right style="medium">
        <color indexed="64"/>
      </right>
      <top/>
      <bottom/>
      <diagonal/>
    </border>
    <border>
      <left style="thin">
        <color auto="1"/>
      </left>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double">
        <color auto="1"/>
      </left>
      <right style="double">
        <color auto="1"/>
      </right>
      <top style="double">
        <color auto="1"/>
      </top>
      <bottom style="double">
        <color auto="1"/>
      </bottom>
      <diagonal/>
    </border>
    <border>
      <left/>
      <right/>
      <top/>
      <bottom style="thick">
        <color indexed="62"/>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medium">
        <color auto="1"/>
      </left>
      <right style="thin">
        <color auto="1"/>
      </right>
      <top/>
      <bottom/>
      <diagonal/>
    </border>
    <border>
      <left/>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indexed="64"/>
      </right>
      <top style="double">
        <color indexed="64"/>
      </top>
      <bottom style="thin">
        <color indexed="64"/>
      </bottom>
      <diagonal/>
    </border>
    <border>
      <left style="thin">
        <color indexed="64"/>
      </left>
      <right style="medium">
        <color auto="1"/>
      </right>
      <top style="double">
        <color indexed="64"/>
      </top>
      <bottom style="thin">
        <color indexed="64"/>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indexed="8"/>
      </right>
      <top/>
      <bottom/>
      <diagonal/>
    </border>
    <border>
      <left style="medium">
        <color auto="1"/>
      </left>
      <right/>
      <top/>
      <bottom style="thin">
        <color indexed="64"/>
      </bottom>
      <diagonal/>
    </border>
    <border>
      <left style="thin">
        <color indexed="8"/>
      </left>
      <right style="medium">
        <color auto="1"/>
      </right>
      <top/>
      <bottom/>
      <diagonal/>
    </border>
    <border>
      <left style="thin">
        <color indexed="8"/>
      </left>
      <right style="medium">
        <color auto="1"/>
      </right>
      <top/>
      <bottom style="thin">
        <color indexed="64"/>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double">
        <color auto="1"/>
      </right>
      <top style="double">
        <color auto="1"/>
      </top>
      <bottom style="double">
        <color auto="1"/>
      </bottom>
      <diagonal/>
    </border>
    <border>
      <left style="double">
        <color auto="1"/>
      </left>
      <right style="medium">
        <color auto="1"/>
      </right>
      <top style="double">
        <color auto="1"/>
      </top>
      <bottom style="double">
        <color auto="1"/>
      </bottom>
      <diagonal/>
    </border>
    <border>
      <left/>
      <right style="thin">
        <color indexed="8"/>
      </right>
      <top/>
      <bottom style="thin">
        <color indexed="64"/>
      </bottom>
      <diagonal/>
    </border>
    <border>
      <left/>
      <right style="medium">
        <color indexed="64"/>
      </right>
      <top/>
      <bottom style="thin">
        <color indexed="64"/>
      </bottom>
      <diagonal/>
    </border>
    <border>
      <left/>
      <right style="thin">
        <color auto="1"/>
      </right>
      <top/>
      <bottom style="thin">
        <color indexed="64"/>
      </bottom>
      <diagonal/>
    </border>
    <border>
      <left style="medium">
        <color auto="1"/>
      </left>
      <right/>
      <top/>
      <bottom style="double">
        <color auto="1"/>
      </bottom>
      <diagonal/>
    </border>
    <border>
      <left/>
      <right style="medium">
        <color indexed="64"/>
      </right>
      <top/>
      <bottom style="double">
        <color auto="1"/>
      </bottom>
      <diagonal/>
    </border>
    <border>
      <left style="thin">
        <color auto="1"/>
      </left>
      <right style="thin">
        <color auto="1"/>
      </right>
      <top/>
      <bottom style="thin">
        <color indexed="64"/>
      </bottom>
      <diagonal/>
    </border>
    <border>
      <left style="thin">
        <color indexed="8"/>
      </left>
      <right style="thin">
        <color indexed="8"/>
      </right>
      <top/>
      <bottom style="thin">
        <color indexed="64"/>
      </bottom>
      <diagonal/>
    </border>
    <border>
      <left style="thin">
        <color auto="1"/>
      </left>
      <right style="medium">
        <color auto="1"/>
      </right>
      <top/>
      <bottom style="thin">
        <color indexed="64"/>
      </bottom>
      <diagonal/>
    </border>
    <border>
      <left style="medium">
        <color auto="1"/>
      </left>
      <right style="thin">
        <color indexed="8"/>
      </right>
      <top/>
      <bottom style="thin">
        <color indexed="64"/>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64"/>
      </bottom>
      <diagonal/>
    </border>
    <border>
      <left style="thin">
        <color auto="1"/>
      </left>
      <right/>
      <top/>
      <bottom style="thin">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top style="thin">
        <color indexed="64"/>
      </top>
      <bottom style="medium">
        <color indexed="64"/>
      </bottom>
      <diagonal/>
    </border>
    <border>
      <left style="medium">
        <color auto="1"/>
      </left>
      <right style="thin">
        <color auto="1"/>
      </right>
      <top style="thin">
        <color indexed="64"/>
      </top>
      <bottom style="medium">
        <color auto="1"/>
      </bottom>
      <diagonal/>
    </border>
  </borders>
  <cellStyleXfs count="5">
    <xf numFmtId="0" fontId="0" fillId="0" borderId="0"/>
    <xf numFmtId="0" fontId="1" fillId="0" borderId="0"/>
    <xf numFmtId="0" fontId="33" fillId="0" borderId="0"/>
    <xf numFmtId="0" fontId="34" fillId="0" borderId="38" applyNumberFormat="0" applyFill="0" applyAlignment="0" applyProtection="0"/>
    <xf numFmtId="0" fontId="35" fillId="0" borderId="0" applyNumberFormat="0" applyFill="0" applyBorder="0" applyAlignment="0" applyProtection="0"/>
  </cellStyleXfs>
  <cellXfs count="462">
    <xf numFmtId="0" fontId="0" fillId="0" borderId="0" xfId="0"/>
    <xf numFmtId="0" fontId="2" fillId="0" borderId="0" xfId="0" applyFont="1"/>
    <xf numFmtId="4" fontId="2" fillId="0" borderId="0" xfId="0" applyNumberFormat="1" applyFont="1" applyAlignment="1">
      <alignment horizontal="center" vertical="center"/>
    </xf>
    <xf numFmtId="0" fontId="2" fillId="0" borderId="0" xfId="0" applyFont="1" applyAlignment="1">
      <alignment horizontal="left" vertical="top"/>
    </xf>
    <xf numFmtId="0" fontId="2" fillId="0" borderId="0" xfId="0" applyFont="1" applyAlignment="1">
      <alignment horizontal="center" vertical="top"/>
    </xf>
    <xf numFmtId="0" fontId="4" fillId="0" borderId="0" xfId="0" applyFont="1" applyAlignment="1">
      <alignment horizontal="center" vertical="center"/>
    </xf>
    <xf numFmtId="0" fontId="4" fillId="0" borderId="0" xfId="0" applyFont="1"/>
    <xf numFmtId="0" fontId="7" fillId="0" borderId="3" xfId="0" applyFont="1" applyBorder="1" applyAlignment="1">
      <alignment horizontal="left" vertical="top" wrapText="1"/>
    </xf>
    <xf numFmtId="0" fontId="7" fillId="0" borderId="3" xfId="0" applyFont="1" applyBorder="1" applyAlignment="1">
      <alignment horizontal="center"/>
    </xf>
    <xf numFmtId="0" fontId="6" fillId="0" borderId="3" xfId="0" applyFont="1" applyBorder="1" applyAlignment="1">
      <alignment horizontal="center" vertical="top"/>
    </xf>
    <xf numFmtId="0" fontId="6" fillId="0" borderId="3" xfId="0" applyFont="1" applyBorder="1"/>
    <xf numFmtId="0" fontId="6" fillId="0" borderId="3" xfId="0" applyFont="1" applyBorder="1" applyAlignment="1">
      <alignment horizontal="left" vertical="top"/>
    </xf>
    <xf numFmtId="0" fontId="9" fillId="0" borderId="3" xfId="0" applyFont="1" applyBorder="1" applyAlignment="1">
      <alignment horizontal="left" vertical="top"/>
    </xf>
    <xf numFmtId="0" fontId="9" fillId="0" borderId="3" xfId="0" applyFont="1" applyBorder="1"/>
    <xf numFmtId="0" fontId="7" fillId="3" borderId="3" xfId="0" applyFont="1" applyFill="1" applyBorder="1" applyAlignment="1">
      <alignment horizontal="left" vertical="top" wrapText="1"/>
    </xf>
    <xf numFmtId="0" fontId="7" fillId="3" borderId="3" xfId="0" applyFont="1" applyFill="1" applyBorder="1" applyAlignment="1">
      <alignment horizontal="center"/>
    </xf>
    <xf numFmtId="0" fontId="6" fillId="0" borderId="4" xfId="0" applyFont="1" applyBorder="1" applyAlignment="1">
      <alignment horizontal="center" vertical="top"/>
    </xf>
    <xf numFmtId="0" fontId="7" fillId="0" borderId="3" xfId="0" applyFont="1" applyBorder="1" applyAlignment="1">
      <alignment horizontal="center" vertical="top"/>
    </xf>
    <xf numFmtId="0" fontId="9" fillId="0" borderId="3" xfId="0" applyFont="1" applyBorder="1" applyAlignment="1">
      <alignment horizontal="center" vertical="top"/>
    </xf>
    <xf numFmtId="0" fontId="6" fillId="3" borderId="3" xfId="0" applyFont="1" applyFill="1" applyBorder="1" applyAlignment="1">
      <alignment horizontal="center" vertical="top"/>
    </xf>
    <xf numFmtId="0" fontId="5" fillId="0" borderId="0" xfId="0" applyFont="1" applyAlignment="1">
      <alignment vertical="center" wrapText="1"/>
    </xf>
    <xf numFmtId="0" fontId="5" fillId="4" borderId="5" xfId="0" applyFont="1" applyFill="1" applyBorder="1" applyAlignment="1">
      <alignment horizontal="center" vertical="center" wrapText="1"/>
    </xf>
    <xf numFmtId="0" fontId="6" fillId="0" borderId="3" xfId="0" applyFont="1" applyBorder="1" applyAlignment="1">
      <alignment vertical="top"/>
    </xf>
    <xf numFmtId="4" fontId="6" fillId="0" borderId="3" xfId="0" applyNumberFormat="1" applyFont="1" applyBorder="1" applyAlignment="1">
      <alignment horizontal="center" vertical="top"/>
    </xf>
    <xf numFmtId="0" fontId="6" fillId="0" borderId="4" xfId="0" applyFont="1" applyBorder="1" applyAlignment="1">
      <alignment vertical="top"/>
    </xf>
    <xf numFmtId="4" fontId="6" fillId="0" borderId="4" xfId="0" applyNumberFormat="1" applyFont="1" applyBorder="1" applyAlignment="1">
      <alignment horizontal="center" vertical="top"/>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5" fillId="4" borderId="2" xfId="0" applyFont="1" applyFill="1" applyBorder="1" applyAlignment="1">
      <alignment horizontal="left" vertical="center"/>
    </xf>
    <xf numFmtId="0" fontId="5" fillId="4" borderId="2" xfId="0" applyFont="1" applyFill="1" applyBorder="1" applyAlignment="1">
      <alignment vertical="center"/>
    </xf>
    <xf numFmtId="4" fontId="6" fillId="0" borderId="3" xfId="0" applyNumberFormat="1" applyFont="1" applyBorder="1" applyAlignment="1">
      <alignment horizontal="right" vertical="top"/>
    </xf>
    <xf numFmtId="0" fontId="7" fillId="0" borderId="3" xfId="0" applyFont="1" applyBorder="1" applyAlignment="1">
      <alignment horizontal="center" vertical="top" wrapText="1"/>
    </xf>
    <xf numFmtId="4" fontId="6" fillId="0" borderId="8" xfId="0" applyNumberFormat="1" applyFont="1" applyBorder="1" applyAlignment="1">
      <alignment vertical="center"/>
    </xf>
    <xf numFmtId="4" fontId="6" fillId="0" borderId="9" xfId="0" applyNumberFormat="1" applyFont="1" applyBorder="1" applyAlignment="1">
      <alignment vertical="center"/>
    </xf>
    <xf numFmtId="4" fontId="9" fillId="0" borderId="10" xfId="0" applyNumberFormat="1" applyFont="1" applyBorder="1" applyAlignment="1">
      <alignment horizontal="center" vertical="center"/>
    </xf>
    <xf numFmtId="4" fontId="6" fillId="0" borderId="9" xfId="0" applyNumberFormat="1" applyFont="1" applyBorder="1" applyAlignment="1">
      <alignment horizontal="center" vertical="center"/>
    </xf>
    <xf numFmtId="4" fontId="6" fillId="0" borderId="10" xfId="0" applyNumberFormat="1" applyFont="1" applyBorder="1" applyAlignment="1">
      <alignment horizontal="center" vertical="center"/>
    </xf>
    <xf numFmtId="0" fontId="7" fillId="0" borderId="3" xfId="0" applyFont="1" applyBorder="1" applyAlignment="1">
      <alignment horizontal="left" wrapText="1"/>
    </xf>
    <xf numFmtId="4" fontId="9" fillId="0" borderId="2" xfId="0" applyNumberFormat="1" applyFont="1" applyBorder="1"/>
    <xf numFmtId="4" fontId="2" fillId="0" borderId="2" xfId="0" applyNumberFormat="1" applyFont="1" applyBorder="1"/>
    <xf numFmtId="4" fontId="2" fillId="0" borderId="3" xfId="0" applyNumberFormat="1" applyFont="1" applyBorder="1"/>
    <xf numFmtId="4" fontId="6" fillId="0" borderId="3" xfId="0" applyNumberFormat="1" applyFont="1" applyBorder="1"/>
    <xf numFmtId="4" fontId="6" fillId="0" borderId="3" xfId="0" applyNumberFormat="1" applyFont="1" applyBorder="1" applyAlignment="1">
      <alignment horizontal="right" vertical="center"/>
    </xf>
    <xf numFmtId="4" fontId="6" fillId="0" borderId="3" xfId="0" applyNumberFormat="1" applyFont="1" applyBorder="1" applyAlignment="1">
      <alignment horizontal="right"/>
    </xf>
    <xf numFmtId="0" fontId="7" fillId="3" borderId="3" xfId="0" applyFont="1" applyFill="1" applyBorder="1" applyAlignment="1">
      <alignment horizontal="center" vertical="top"/>
    </xf>
    <xf numFmtId="4" fontId="6" fillId="3" borderId="3" xfId="0" applyNumberFormat="1" applyFont="1" applyFill="1" applyBorder="1" applyAlignment="1">
      <alignment horizontal="center" vertical="center"/>
    </xf>
    <xf numFmtId="0" fontId="2" fillId="3"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1" xfId="0" applyFont="1" applyFill="1" applyBorder="1" applyAlignment="1">
      <alignment horizontal="center" vertical="top" wrapText="1"/>
    </xf>
    <xf numFmtId="0" fontId="5" fillId="4" borderId="2" xfId="0" applyFont="1" applyFill="1" applyBorder="1" applyAlignment="1">
      <alignment horizontal="center" vertical="top" wrapText="1"/>
    </xf>
    <xf numFmtId="4" fontId="5" fillId="4" borderId="2" xfId="0" applyNumberFormat="1" applyFont="1" applyFill="1" applyBorder="1" applyAlignment="1">
      <alignment horizontal="right" vertical="center" wrapText="1"/>
    </xf>
    <xf numFmtId="4" fontId="6" fillId="0" borderId="4" xfId="0" applyNumberFormat="1" applyFont="1" applyBorder="1" applyAlignment="1">
      <alignment horizontal="right" vertical="top"/>
    </xf>
    <xf numFmtId="4" fontId="5" fillId="4" borderId="1" xfId="0" applyNumberFormat="1" applyFont="1" applyFill="1" applyBorder="1" applyAlignment="1">
      <alignment horizontal="right" vertical="top" wrapText="1"/>
    </xf>
    <xf numFmtId="4" fontId="5" fillId="4" borderId="2" xfId="0" applyNumberFormat="1" applyFont="1" applyFill="1" applyBorder="1" applyAlignment="1">
      <alignment horizontal="right" vertical="top" wrapText="1"/>
    </xf>
    <xf numFmtId="2" fontId="0" fillId="0" borderId="3" xfId="0" applyNumberFormat="1" applyBorder="1" applyAlignment="1">
      <alignment horizontal="center" vertical="top"/>
    </xf>
    <xf numFmtId="0" fontId="4" fillId="0" borderId="3" xfId="0" applyFont="1" applyBorder="1" applyAlignment="1">
      <alignment horizontal="center" vertical="top"/>
    </xf>
    <xf numFmtId="0" fontId="4" fillId="0" borderId="3" xfId="0" applyFont="1" applyBorder="1"/>
    <xf numFmtId="0" fontId="4" fillId="0" borderId="3" xfId="0" applyFont="1" applyBorder="1" applyAlignment="1">
      <alignment horizontal="right" vertical="top"/>
    </xf>
    <xf numFmtId="0" fontId="13" fillId="0" borderId="0" xfId="1" applyFont="1" applyAlignment="1">
      <alignment vertical="center"/>
    </xf>
    <xf numFmtId="0" fontId="14" fillId="0" borderId="0" xfId="1" applyFont="1" applyAlignment="1">
      <alignment horizontal="left" vertical="center"/>
    </xf>
    <xf numFmtId="0" fontId="16" fillId="0" borderId="0" xfId="1" applyFont="1" applyAlignment="1">
      <alignment vertical="center"/>
    </xf>
    <xf numFmtId="0" fontId="15" fillId="0" borderId="0" xfId="1" applyFont="1" applyAlignment="1">
      <alignment horizontal="center" vertical="center" wrapText="1"/>
    </xf>
    <xf numFmtId="0" fontId="12" fillId="0" borderId="19" xfId="1" applyFont="1" applyFill="1" applyBorder="1" applyAlignment="1" applyProtection="1">
      <alignment vertical="center" wrapText="1"/>
    </xf>
    <xf numFmtId="0" fontId="17" fillId="0" borderId="0" xfId="1" applyFont="1" applyAlignment="1" applyProtection="1">
      <alignment vertical="center"/>
      <protection hidden="1"/>
    </xf>
    <xf numFmtId="0" fontId="17" fillId="0" borderId="0" xfId="1" applyFont="1" applyAlignment="1">
      <alignment vertical="center"/>
    </xf>
    <xf numFmtId="0" fontId="17" fillId="0" borderId="0" xfId="1" applyFont="1" applyAlignment="1" applyProtection="1">
      <alignment horizontal="left" vertical="center"/>
      <protection hidden="1"/>
    </xf>
    <xf numFmtId="0" fontId="19" fillId="0" borderId="0" xfId="1" applyFont="1" applyAlignment="1" applyProtection="1">
      <alignment vertical="center"/>
      <protection hidden="1"/>
    </xf>
    <xf numFmtId="0" fontId="19" fillId="0" borderId="0" xfId="1" applyFont="1" applyAlignment="1">
      <alignment vertical="center"/>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9" fillId="0" borderId="0" xfId="1" applyFont="1" applyBorder="1" applyAlignment="1" applyProtection="1">
      <alignment vertical="center"/>
      <protection hidden="1"/>
    </xf>
    <xf numFmtId="0" fontId="12" fillId="0" borderId="29" xfId="1" applyFont="1" applyBorder="1" applyAlignment="1">
      <alignment vertical="center" wrapText="1"/>
    </xf>
    <xf numFmtId="2" fontId="12" fillId="0" borderId="4" xfId="1" applyNumberFormat="1" applyFont="1" applyBorder="1" applyAlignment="1" applyProtection="1">
      <alignment horizontal="center" vertical="center" wrapText="1"/>
      <protection hidden="1"/>
    </xf>
    <xf numFmtId="2" fontId="12" fillId="7" borderId="30" xfId="1" quotePrefix="1" applyNumberFormat="1" applyFont="1" applyFill="1" applyBorder="1" applyAlignment="1" applyProtection="1">
      <alignment horizontal="center" vertical="center" wrapText="1"/>
      <protection locked="0"/>
    </xf>
    <xf numFmtId="2" fontId="12" fillId="7" borderId="0" xfId="1" quotePrefix="1" applyNumberFormat="1" applyFont="1" applyFill="1" applyBorder="1" applyAlignment="1" applyProtection="1">
      <alignment vertical="center" wrapText="1"/>
      <protection hidden="1"/>
    </xf>
    <xf numFmtId="0" fontId="12" fillId="0" borderId="29" xfId="1" applyFont="1" applyBorder="1" applyAlignment="1">
      <alignment horizontal="left" vertical="center" wrapText="1"/>
    </xf>
    <xf numFmtId="2" fontId="12" fillId="7" borderId="31" xfId="1" applyNumberFormat="1" applyFont="1" applyFill="1" applyBorder="1" applyAlignment="1" applyProtection="1">
      <alignment horizontal="center" vertical="center" wrapText="1"/>
      <protection locked="0"/>
    </xf>
    <xf numFmtId="2" fontId="12" fillId="7" borderId="0" xfId="1" applyNumberFormat="1" applyFont="1" applyFill="1" applyBorder="1" applyAlignment="1" applyProtection="1">
      <alignment vertical="center" wrapText="1"/>
      <protection hidden="1"/>
    </xf>
    <xf numFmtId="0" fontId="20" fillId="8" borderId="0" xfId="1" applyFont="1" applyFill="1" applyBorder="1" applyAlignment="1" applyProtection="1">
      <alignment vertical="center"/>
      <protection hidden="1"/>
    </xf>
    <xf numFmtId="0" fontId="20" fillId="8" borderId="0" xfId="1" applyFont="1" applyFill="1" applyAlignment="1" applyProtection="1">
      <alignment vertical="center" wrapText="1"/>
      <protection hidden="1"/>
    </xf>
    <xf numFmtId="2" fontId="12" fillId="0" borderId="32" xfId="1" applyNumberFormat="1" applyFont="1" applyBorder="1" applyAlignment="1" applyProtection="1">
      <alignment horizontal="center" vertical="center" wrapText="1"/>
      <protection hidden="1"/>
    </xf>
    <xf numFmtId="2" fontId="12" fillId="0" borderId="33" xfId="1" applyNumberFormat="1" applyFont="1" applyFill="1" applyBorder="1" applyAlignment="1" applyProtection="1">
      <alignment horizontal="center" vertical="center" wrapText="1"/>
    </xf>
    <xf numFmtId="0" fontId="15" fillId="0" borderId="34" xfId="1" applyFont="1" applyBorder="1" applyAlignment="1">
      <alignment vertical="center" wrapText="1"/>
    </xf>
    <xf numFmtId="2" fontId="15" fillId="0" borderId="35" xfId="1" applyNumberFormat="1" applyFont="1" applyBorder="1" applyAlignment="1" applyProtection="1">
      <alignment horizontal="center" vertical="center" wrapText="1"/>
      <protection hidden="1"/>
    </xf>
    <xf numFmtId="2" fontId="15" fillId="0" borderId="28" xfId="1" applyNumberFormat="1" applyFont="1" applyBorder="1" applyAlignment="1" applyProtection="1">
      <alignment horizontal="center" vertical="center" wrapText="1"/>
      <protection hidden="1"/>
    </xf>
    <xf numFmtId="0" fontId="21" fillId="0" borderId="0" xfId="1" applyFont="1" applyAlignment="1" applyProtection="1">
      <alignment vertical="center"/>
      <protection hidden="1"/>
    </xf>
    <xf numFmtId="0" fontId="22" fillId="0" borderId="0" xfId="1" applyFont="1" applyAlignment="1" applyProtection="1">
      <alignment vertical="center"/>
      <protection hidden="1"/>
    </xf>
    <xf numFmtId="0" fontId="23" fillId="0" borderId="0" xfId="1" applyFont="1" applyAlignment="1" applyProtection="1">
      <alignment vertical="center"/>
      <protection hidden="1"/>
    </xf>
    <xf numFmtId="0" fontId="24" fillId="0" borderId="0" xfId="1" applyFont="1" applyAlignment="1" applyProtection="1">
      <alignment vertical="center"/>
      <protection hidden="1"/>
    </xf>
    <xf numFmtId="0" fontId="12" fillId="0" borderId="0" xfId="1" applyFont="1" applyAlignment="1">
      <alignment vertical="center"/>
    </xf>
    <xf numFmtId="0" fontId="19" fillId="0" borderId="0" xfId="1" applyFont="1" applyAlignment="1">
      <alignment horizontal="right" vertical="center"/>
    </xf>
    <xf numFmtId="2" fontId="12" fillId="0" borderId="10" xfId="1" applyNumberFormat="1" applyFont="1" applyBorder="1" applyAlignment="1" applyProtection="1">
      <alignment horizontal="center" vertical="center" wrapText="1"/>
      <protection hidden="1"/>
    </xf>
    <xf numFmtId="0" fontId="25" fillId="0" borderId="0" xfId="1" applyFont="1" applyAlignment="1" applyProtection="1">
      <alignment vertical="center"/>
      <protection hidden="1"/>
    </xf>
    <xf numFmtId="0" fontId="17" fillId="0" borderId="0" xfId="1" applyFont="1" applyAlignment="1">
      <alignment horizontal="right" vertical="center"/>
    </xf>
    <xf numFmtId="2" fontId="17" fillId="0" borderId="0" xfId="1" applyNumberFormat="1" applyFont="1" applyAlignment="1" applyProtection="1">
      <alignment horizontal="center" vertical="center"/>
      <protection hidden="1"/>
    </xf>
    <xf numFmtId="0" fontId="26" fillId="0" borderId="0" xfId="1" applyFont="1" applyAlignment="1" applyProtection="1">
      <alignment vertical="center"/>
      <protection hidden="1"/>
    </xf>
    <xf numFmtId="0" fontId="27" fillId="0" borderId="0" xfId="1" applyFont="1" applyAlignment="1">
      <alignment horizontal="justify" vertical="center"/>
    </xf>
    <xf numFmtId="0" fontId="27" fillId="0" borderId="0" xfId="1" applyFont="1" applyAlignment="1">
      <alignment horizontal="left" vertical="center"/>
    </xf>
    <xf numFmtId="0" fontId="27" fillId="6" borderId="0" xfId="1" applyFont="1" applyFill="1" applyAlignment="1" applyProtection="1">
      <alignment horizontal="left"/>
      <protection locked="0"/>
    </xf>
    <xf numFmtId="0" fontId="27" fillId="0" borderId="36" xfId="1" applyFont="1" applyBorder="1" applyAlignment="1">
      <alignment horizontal="left" vertical="center"/>
    </xf>
    <xf numFmtId="0" fontId="27" fillId="7" borderId="0" xfId="1" applyFont="1" applyFill="1" applyBorder="1" applyAlignment="1" applyProtection="1">
      <alignment horizontal="left" vertical="center"/>
    </xf>
    <xf numFmtId="0" fontId="27" fillId="7" borderId="0" xfId="1" applyFont="1" applyFill="1" applyAlignment="1" applyProtection="1">
      <alignment horizontal="left" vertical="center"/>
    </xf>
    <xf numFmtId="0" fontId="20" fillId="8" borderId="0" xfId="1" applyFont="1" applyFill="1" applyAlignment="1">
      <alignment vertical="center"/>
    </xf>
    <xf numFmtId="0" fontId="20" fillId="8" borderId="0" xfId="1" applyFont="1" applyFill="1" applyAlignment="1">
      <alignment vertical="center" wrapText="1"/>
    </xf>
    <xf numFmtId="0" fontId="20" fillId="8" borderId="0" xfId="1" applyFont="1" applyFill="1" applyBorder="1" applyAlignment="1">
      <alignment vertical="center"/>
    </xf>
    <xf numFmtId="0" fontId="13" fillId="0" borderId="0" xfId="1" applyFont="1" applyBorder="1" applyAlignment="1">
      <alignment vertical="center"/>
    </xf>
    <xf numFmtId="0" fontId="29" fillId="8" borderId="0" xfId="1" applyFont="1" applyFill="1" applyBorder="1" applyAlignment="1">
      <alignment vertical="center"/>
    </xf>
    <xf numFmtId="0" fontId="19" fillId="0" borderId="0" xfId="1" applyFont="1" applyBorder="1" applyAlignment="1">
      <alignment vertical="center"/>
    </xf>
    <xf numFmtId="0" fontId="30" fillId="0" borderId="0" xfId="1" applyFont="1" applyBorder="1" applyAlignment="1">
      <alignment vertical="center"/>
    </xf>
    <xf numFmtId="0" fontId="17" fillId="0" borderId="0" xfId="1" applyFont="1" applyBorder="1" applyAlignment="1">
      <alignment vertical="center"/>
    </xf>
    <xf numFmtId="0" fontId="20" fillId="0" borderId="0" xfId="1" applyFont="1" applyBorder="1" applyAlignment="1">
      <alignment vertical="center"/>
    </xf>
    <xf numFmtId="0" fontId="29" fillId="0" borderId="0" xfId="1" applyFont="1" applyBorder="1" applyAlignment="1">
      <alignment horizontal="center" vertical="center" wrapText="1"/>
    </xf>
    <xf numFmtId="0" fontId="12" fillId="0" borderId="0" xfId="1" applyFont="1" applyBorder="1" applyAlignment="1">
      <alignment vertical="center" wrapText="1"/>
    </xf>
    <xf numFmtId="2" fontId="12" fillId="0" borderId="0" xfId="1" applyNumberFormat="1" applyFont="1" applyBorder="1" applyAlignment="1">
      <alignment vertical="center" wrapText="1"/>
    </xf>
    <xf numFmtId="0" fontId="15" fillId="0" borderId="0" xfId="1" applyFont="1" applyBorder="1" applyAlignment="1">
      <alignment vertical="center" wrapText="1"/>
    </xf>
    <xf numFmtId="2" fontId="15" fillId="0" borderId="0" xfId="1" applyNumberFormat="1" applyFont="1" applyBorder="1" applyAlignment="1">
      <alignment vertical="center" wrapText="1"/>
    </xf>
    <xf numFmtId="0" fontId="27" fillId="0" borderId="0" xfId="1" applyFont="1" applyBorder="1" applyAlignment="1">
      <alignment horizontal="justify" vertical="center"/>
    </xf>
    <xf numFmtId="0" fontId="1" fillId="0" borderId="0" xfId="1" applyFont="1"/>
    <xf numFmtId="0" fontId="1" fillId="0" borderId="2" xfId="1" applyFont="1" applyBorder="1"/>
    <xf numFmtId="2" fontId="12" fillId="0" borderId="2" xfId="1" applyNumberFormat="1" applyFont="1" applyBorder="1" applyAlignment="1">
      <alignment horizontal="right" wrapText="1"/>
    </xf>
    <xf numFmtId="2" fontId="12" fillId="0" borderId="2" xfId="1" applyNumberFormat="1" applyFont="1" applyBorder="1" applyAlignment="1">
      <alignment wrapText="1"/>
    </xf>
    <xf numFmtId="2" fontId="12" fillId="0" borderId="2" xfId="1" applyNumberFormat="1" applyFont="1" applyFill="1" applyBorder="1" applyAlignment="1">
      <alignment horizontal="right" wrapText="1"/>
    </xf>
    <xf numFmtId="2" fontId="15" fillId="0" borderId="35" xfId="1" applyNumberFormat="1" applyFont="1" applyBorder="1" applyAlignment="1">
      <alignment wrapText="1"/>
    </xf>
    <xf numFmtId="0" fontId="1" fillId="0" borderId="0" xfId="1" applyFont="1" applyFill="1" applyBorder="1"/>
    <xf numFmtId="0" fontId="7" fillId="0" borderId="4" xfId="0" applyFont="1" applyBorder="1" applyAlignment="1">
      <alignment horizontal="left" vertical="top" wrapText="1"/>
    </xf>
    <xf numFmtId="0" fontId="7" fillId="0" borderId="4" xfId="0" applyFont="1" applyBorder="1" applyAlignment="1">
      <alignment horizontal="center" vertical="top"/>
    </xf>
    <xf numFmtId="0" fontId="6" fillId="0" borderId="3" xfId="0" applyFont="1" applyFill="1" applyBorder="1" applyAlignment="1">
      <alignment horizontal="center" vertical="top"/>
    </xf>
    <xf numFmtId="0" fontId="7" fillId="0" borderId="3" xfId="0" applyFont="1" applyFill="1" applyBorder="1" applyAlignment="1">
      <alignment horizontal="left" vertical="top" wrapText="1"/>
    </xf>
    <xf numFmtId="0" fontId="7" fillId="0" borderId="3" xfId="0" applyFont="1" applyFill="1" applyBorder="1" applyAlignment="1">
      <alignment horizontal="center" vertical="top"/>
    </xf>
    <xf numFmtId="4" fontId="6" fillId="0" borderId="3" xfId="0" applyNumberFormat="1" applyFont="1" applyFill="1" applyBorder="1" applyAlignment="1">
      <alignment horizontal="center" vertical="top"/>
    </xf>
    <xf numFmtId="4" fontId="6" fillId="0" borderId="3" xfId="0" applyNumberFormat="1" applyFont="1" applyFill="1" applyBorder="1" applyAlignment="1">
      <alignment horizontal="right" vertical="top"/>
    </xf>
    <xf numFmtId="4" fontId="11" fillId="0" borderId="3" xfId="0" applyNumberFormat="1" applyFont="1" applyFill="1" applyBorder="1" applyAlignment="1">
      <alignment horizontal="center" vertical="top"/>
    </xf>
    <xf numFmtId="0" fontId="5" fillId="0" borderId="0" xfId="0" applyFont="1" applyFill="1" applyBorder="1" applyAlignment="1">
      <alignment vertical="center" wrapText="1"/>
    </xf>
    <xf numFmtId="0" fontId="2" fillId="0" borderId="0" xfId="0" applyFont="1" applyBorder="1" applyAlignment="1">
      <alignment horizontal="left" vertical="top"/>
    </xf>
    <xf numFmtId="0" fontId="2" fillId="0" borderId="0" xfId="0" applyFont="1" applyBorder="1"/>
    <xf numFmtId="0" fontId="3" fillId="2" borderId="37" xfId="1" applyFont="1" applyFill="1" applyBorder="1" applyAlignment="1">
      <alignment horizontal="center" vertical="center" wrapText="1"/>
    </xf>
    <xf numFmtId="0" fontId="4" fillId="0" borderId="0" xfId="0" applyFont="1" applyAlignment="1">
      <alignment wrapText="1"/>
    </xf>
    <xf numFmtId="4" fontId="6" fillId="0" borderId="3" xfId="0" applyNumberFormat="1" applyFont="1" applyFill="1" applyBorder="1" applyAlignment="1">
      <alignment horizontal="center" vertical="center"/>
    </xf>
    <xf numFmtId="0" fontId="7" fillId="0" borderId="3" xfId="0" applyFont="1" applyFill="1" applyBorder="1" applyAlignment="1">
      <alignment horizontal="center"/>
    </xf>
    <xf numFmtId="0" fontId="2" fillId="0" borderId="0" xfId="0" applyFont="1" applyFill="1"/>
    <xf numFmtId="0" fontId="7" fillId="0" borderId="3" xfId="0" applyFont="1" applyFill="1" applyBorder="1" applyAlignment="1">
      <alignment horizontal="center" vertical="center"/>
    </xf>
    <xf numFmtId="0" fontId="3" fillId="9" borderId="41" xfId="2" applyFont="1" applyFill="1" applyBorder="1" applyAlignment="1">
      <alignment horizontal="center" vertical="top" wrapText="1"/>
    </xf>
    <xf numFmtId="0" fontId="3" fillId="9" borderId="0" xfId="2" applyFont="1" applyFill="1" applyBorder="1" applyAlignment="1">
      <alignment vertical="top" wrapText="1"/>
    </xf>
    <xf numFmtId="4" fontId="3" fillId="9" borderId="41" xfId="2" applyNumberFormat="1" applyFont="1" applyFill="1" applyBorder="1" applyAlignment="1">
      <alignment horizontal="center" vertical="top" wrapText="1"/>
    </xf>
    <xf numFmtId="4" fontId="3" fillId="9" borderId="0" xfId="2" applyNumberFormat="1" applyFont="1" applyFill="1" applyBorder="1" applyAlignment="1">
      <alignment horizontal="center" vertical="top" wrapText="1"/>
    </xf>
    <xf numFmtId="10" fontId="3" fillId="9" borderId="40" xfId="2" applyNumberFormat="1" applyFont="1" applyFill="1" applyBorder="1" applyAlignment="1">
      <alignment vertical="top" wrapText="1"/>
    </xf>
    <xf numFmtId="4" fontId="3" fillId="9" borderId="40" xfId="2" applyNumberFormat="1" applyFont="1" applyFill="1" applyBorder="1" applyAlignment="1">
      <alignment vertical="top" wrapText="1"/>
    </xf>
    <xf numFmtId="0" fontId="4" fillId="0" borderId="0" xfId="0" applyFont="1" applyFill="1"/>
    <xf numFmtId="0" fontId="4" fillId="0" borderId="0" xfId="0" applyFont="1" applyFill="1" applyAlignment="1">
      <alignment horizontal="center" vertical="center"/>
    </xf>
    <xf numFmtId="4" fontId="36" fillId="0" borderId="0" xfId="2" applyNumberFormat="1" applyFont="1" applyFill="1" applyBorder="1" applyAlignment="1">
      <alignment horizontal="center" vertical="top" wrapText="1"/>
    </xf>
    <xf numFmtId="4" fontId="36" fillId="0" borderId="41" xfId="2" applyNumberFormat="1" applyFont="1" applyFill="1" applyBorder="1" applyAlignment="1">
      <alignment horizontal="center" vertical="top" wrapText="1"/>
    </xf>
    <xf numFmtId="0" fontId="36" fillId="0" borderId="0" xfId="2" applyFont="1" applyFill="1" applyBorder="1" applyAlignment="1">
      <alignment vertical="top" wrapText="1"/>
    </xf>
    <xf numFmtId="0" fontId="11" fillId="0" borderId="39" xfId="2" applyFont="1" applyBorder="1" applyAlignment="1">
      <alignment vertical="top" wrapText="1"/>
    </xf>
    <xf numFmtId="10" fontId="36" fillId="0" borderId="40" xfId="2" applyNumberFormat="1" applyFont="1" applyFill="1" applyBorder="1" applyAlignment="1">
      <alignment vertical="top" wrapText="1"/>
    </xf>
    <xf numFmtId="4" fontId="36" fillId="0" borderId="40" xfId="2" applyNumberFormat="1" applyFont="1" applyFill="1" applyBorder="1" applyAlignment="1">
      <alignment vertical="top" wrapText="1"/>
    </xf>
    <xf numFmtId="0" fontId="36" fillId="0" borderId="0" xfId="2" applyFont="1" applyBorder="1" applyAlignment="1">
      <alignment vertical="top" wrapText="1"/>
    </xf>
    <xf numFmtId="4" fontId="36" fillId="0" borderId="41" xfId="2" applyNumberFormat="1" applyFont="1" applyBorder="1" applyAlignment="1">
      <alignment horizontal="center" vertical="top" wrapText="1"/>
    </xf>
    <xf numFmtId="4" fontId="36" fillId="0" borderId="0" xfId="2" applyNumberFormat="1" applyFont="1" applyBorder="1" applyAlignment="1">
      <alignment horizontal="center" vertical="top" wrapText="1"/>
    </xf>
    <xf numFmtId="10" fontId="36" fillId="0" borderId="40" xfId="2" applyNumberFormat="1" applyFont="1" applyBorder="1" applyAlignment="1">
      <alignment vertical="top" wrapText="1"/>
    </xf>
    <xf numFmtId="4" fontId="36" fillId="0" borderId="40" xfId="2" applyNumberFormat="1" applyFont="1" applyBorder="1" applyAlignment="1">
      <alignment vertical="top" wrapText="1"/>
    </xf>
    <xf numFmtId="4" fontId="11" fillId="0" borderId="41" xfId="2" applyNumberFormat="1" applyFont="1" applyBorder="1" applyAlignment="1">
      <alignment horizontal="center" vertical="top" wrapText="1"/>
    </xf>
    <xf numFmtId="4" fontId="11" fillId="0" borderId="0" xfId="2" applyNumberFormat="1" applyFont="1" applyBorder="1" applyAlignment="1">
      <alignment horizontal="center" vertical="top" wrapText="1"/>
    </xf>
    <xf numFmtId="4" fontId="11" fillId="0" borderId="0" xfId="2" applyNumberFormat="1" applyFont="1" applyBorder="1" applyAlignment="1">
      <alignment horizontal="center" vertical="top"/>
    </xf>
    <xf numFmtId="4" fontId="11" fillId="0" borderId="41" xfId="2" applyNumberFormat="1" applyFont="1" applyBorder="1" applyAlignment="1">
      <alignment horizontal="center" vertical="top"/>
    </xf>
    <xf numFmtId="0" fontId="36" fillId="0" borderId="41" xfId="2" applyFont="1" applyFill="1" applyBorder="1" applyAlignment="1">
      <alignment horizontal="center" vertical="top" wrapText="1"/>
    </xf>
    <xf numFmtId="0" fontId="36" fillId="0" borderId="41" xfId="2" applyFont="1" applyBorder="1" applyAlignment="1">
      <alignment horizontal="center" vertical="top" wrapText="1"/>
    </xf>
    <xf numFmtId="0" fontId="11" fillId="0" borderId="0" xfId="2" applyFont="1" applyBorder="1" applyAlignment="1">
      <alignment vertical="top" wrapText="1"/>
    </xf>
    <xf numFmtId="0" fontId="11" fillId="0" borderId="41" xfId="2" applyFont="1" applyBorder="1" applyAlignment="1">
      <alignment horizontal="center" vertical="top" wrapText="1"/>
    </xf>
    <xf numFmtId="0" fontId="11" fillId="0" borderId="41" xfId="2" applyFont="1" applyBorder="1" applyAlignment="1">
      <alignment vertical="top" wrapText="1"/>
    </xf>
    <xf numFmtId="0" fontId="6" fillId="4" borderId="3" xfId="0" applyFont="1" applyFill="1" applyBorder="1" applyAlignment="1">
      <alignment horizontal="center" vertical="top"/>
    </xf>
    <xf numFmtId="0" fontId="7" fillId="4" borderId="3" xfId="0" applyFont="1" applyFill="1" applyBorder="1" applyAlignment="1">
      <alignment horizontal="left" vertical="top" wrapText="1"/>
    </xf>
    <xf numFmtId="0" fontId="7" fillId="4" borderId="3" xfId="0" applyFont="1" applyFill="1" applyBorder="1" applyAlignment="1">
      <alignment horizontal="center" vertical="top"/>
    </xf>
    <xf numFmtId="4" fontId="6" fillId="4" borderId="3" xfId="0" applyNumberFormat="1" applyFont="1" applyFill="1" applyBorder="1" applyAlignment="1">
      <alignment horizontal="center" vertical="center"/>
    </xf>
    <xf numFmtId="4" fontId="11" fillId="0" borderId="41" xfId="2" applyNumberFormat="1" applyFont="1" applyBorder="1" applyAlignment="1">
      <alignment vertical="top" wrapText="1"/>
    </xf>
    <xf numFmtId="4" fontId="11" fillId="0" borderId="40" xfId="2" applyNumberFormat="1" applyFont="1" applyBorder="1" applyAlignment="1">
      <alignment vertical="top" wrapText="1"/>
    </xf>
    <xf numFmtId="10" fontId="11" fillId="0" borderId="40" xfId="2" applyNumberFormat="1" applyFont="1" applyBorder="1" applyAlignment="1">
      <alignment vertical="top" wrapText="1"/>
    </xf>
    <xf numFmtId="0" fontId="11" fillId="0" borderId="0" xfId="2" applyFont="1" applyBorder="1" applyAlignment="1">
      <alignment horizontal="center" vertical="top" wrapText="1"/>
    </xf>
    <xf numFmtId="4" fontId="37" fillId="0" borderId="41" xfId="2" applyNumberFormat="1" applyFont="1" applyBorder="1" applyAlignment="1">
      <alignment vertical="top" wrapText="1"/>
    </xf>
    <xf numFmtId="4" fontId="11" fillId="0" borderId="41" xfId="2" applyNumberFormat="1" applyFont="1" applyBorder="1" applyAlignment="1">
      <alignment vertical="top"/>
    </xf>
    <xf numFmtId="4" fontId="11" fillId="10" borderId="0" xfId="2" applyNumberFormat="1" applyFont="1" applyFill="1" applyBorder="1" applyAlignment="1">
      <alignment horizontal="center" vertical="top" wrapText="1"/>
    </xf>
    <xf numFmtId="164" fontId="37" fillId="10" borderId="41" xfId="2" applyNumberFormat="1" applyFont="1" applyFill="1" applyBorder="1" applyAlignment="1">
      <alignment horizontal="right" vertical="top" wrapText="1"/>
    </xf>
    <xf numFmtId="4" fontId="11" fillId="10" borderId="40" xfId="2" applyNumberFormat="1" applyFont="1" applyFill="1" applyBorder="1" applyAlignment="1">
      <alignment horizontal="right" vertical="top" wrapText="1"/>
    </xf>
    <xf numFmtId="164" fontId="11" fillId="10" borderId="40" xfId="2" applyNumberFormat="1" applyFont="1" applyFill="1" applyBorder="1" applyAlignment="1">
      <alignment horizontal="right" vertical="top" wrapText="1"/>
    </xf>
    <xf numFmtId="0" fontId="11" fillId="10" borderId="41" xfId="2" applyFont="1" applyFill="1" applyBorder="1" applyAlignment="1">
      <alignment horizontal="center" vertical="top" wrapText="1"/>
    </xf>
    <xf numFmtId="0" fontId="36" fillId="10" borderId="0" xfId="2" applyFont="1" applyFill="1" applyBorder="1" applyAlignment="1">
      <alignment horizontal="center" vertical="top" wrapText="1"/>
    </xf>
    <xf numFmtId="0" fontId="11" fillId="0" borderId="0" xfId="2" applyFont="1" applyBorder="1" applyAlignment="1">
      <alignment horizontal="left" vertical="top" wrapText="1"/>
    </xf>
    <xf numFmtId="164" fontId="37" fillId="0" borderId="41" xfId="2" applyNumberFormat="1" applyFont="1" applyBorder="1" applyAlignment="1">
      <alignment horizontal="right" vertical="top" wrapText="1"/>
    </xf>
    <xf numFmtId="4" fontId="11" fillId="0" borderId="40" xfId="2" applyNumberFormat="1" applyFont="1" applyBorder="1" applyAlignment="1">
      <alignment horizontal="right" vertical="top" wrapText="1"/>
    </xf>
    <xf numFmtId="164" fontId="11" fillId="0" borderId="40" xfId="2" applyNumberFormat="1" applyFont="1" applyBorder="1" applyAlignment="1">
      <alignment horizontal="right" vertical="top" wrapText="1"/>
    </xf>
    <xf numFmtId="4" fontId="37" fillId="0" borderId="41" xfId="2" applyNumberFormat="1" applyFont="1" applyBorder="1" applyAlignment="1">
      <alignment horizontal="right" vertical="top" wrapText="1"/>
    </xf>
    <xf numFmtId="0" fontId="36" fillId="10" borderId="41" xfId="2" applyFont="1" applyFill="1" applyBorder="1" applyAlignment="1">
      <alignment horizontal="justify" vertical="top"/>
    </xf>
    <xf numFmtId="0" fontId="11" fillId="10" borderId="41" xfId="2" applyFont="1" applyFill="1" applyBorder="1" applyAlignment="1">
      <alignment horizontal="justify" vertical="top"/>
    </xf>
    <xf numFmtId="4" fontId="6" fillId="0" borderId="41" xfId="0" applyNumberFormat="1" applyFont="1" applyBorder="1" applyAlignment="1">
      <alignment horizontal="center" vertical="top"/>
    </xf>
    <xf numFmtId="4" fontId="6" fillId="0" borderId="41" xfId="0" applyNumberFormat="1" applyFont="1" applyBorder="1" applyAlignment="1">
      <alignment horizontal="right" vertical="top"/>
    </xf>
    <xf numFmtId="49" fontId="36" fillId="0" borderId="41" xfId="2" applyNumberFormat="1" applyFont="1" applyBorder="1" applyAlignment="1">
      <alignment horizontal="center" vertical="top" wrapText="1"/>
    </xf>
    <xf numFmtId="0" fontId="36" fillId="0" borderId="41" xfId="2" applyFont="1" applyBorder="1" applyAlignment="1">
      <alignment vertical="top" wrapText="1"/>
    </xf>
    <xf numFmtId="0" fontId="11" fillId="0" borderId="42" xfId="2" applyFont="1" applyBorder="1" applyAlignment="1">
      <alignment horizontal="center" vertical="top" wrapText="1"/>
    </xf>
    <xf numFmtId="0" fontId="11" fillId="0" borderId="3" xfId="2" applyFont="1" applyBorder="1" applyAlignment="1">
      <alignment vertical="top" wrapText="1"/>
    </xf>
    <xf numFmtId="4" fontId="11" fillId="0" borderId="3" xfId="2" applyNumberFormat="1" applyFont="1" applyBorder="1" applyAlignment="1">
      <alignment horizontal="center" vertical="top" wrapText="1"/>
    </xf>
    <xf numFmtId="49" fontId="11" fillId="0" borderId="42" xfId="0" applyNumberFormat="1" applyFont="1" applyBorder="1" applyAlignment="1">
      <alignment horizontal="center" vertical="top" wrapText="1"/>
    </xf>
    <xf numFmtId="0" fontId="11" fillId="0" borderId="3" xfId="0" applyFont="1" applyBorder="1" applyAlignment="1">
      <alignment horizontal="center" vertical="top" wrapText="1"/>
    </xf>
    <xf numFmtId="0" fontId="11" fillId="0" borderId="3" xfId="0" applyFont="1" applyBorder="1" applyAlignment="1">
      <alignment vertical="top" wrapText="1"/>
    </xf>
    <xf numFmtId="4" fontId="9" fillId="0" borderId="3" xfId="0" applyNumberFormat="1" applyFont="1" applyBorder="1" applyAlignment="1">
      <alignment horizontal="right" vertical="top"/>
    </xf>
    <xf numFmtId="4" fontId="9" fillId="0" borderId="41" xfId="0" applyNumberFormat="1" applyFont="1" applyBorder="1" applyAlignment="1">
      <alignment horizontal="right" vertical="top"/>
    </xf>
    <xf numFmtId="0" fontId="36" fillId="0" borderId="3" xfId="2" applyFont="1" applyBorder="1" applyAlignment="1">
      <alignment horizontal="center" vertical="top" wrapText="1"/>
    </xf>
    <xf numFmtId="0" fontId="36" fillId="0" borderId="3" xfId="2" applyFont="1" applyBorder="1" applyAlignment="1">
      <alignment vertical="top" wrapText="1"/>
    </xf>
    <xf numFmtId="0" fontId="2" fillId="0" borderId="0" xfId="0" applyFont="1" applyFill="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4" fontId="6" fillId="0" borderId="4" xfId="0" applyNumberFormat="1" applyFont="1" applyBorder="1" applyAlignment="1">
      <alignment horizontal="center" vertical="center"/>
    </xf>
    <xf numFmtId="4" fontId="6" fillId="0" borderId="2" xfId="0" applyNumberFormat="1" applyFont="1" applyBorder="1" applyAlignment="1">
      <alignment horizontal="center" vertical="center"/>
    </xf>
    <xf numFmtId="4" fontId="6" fillId="0" borderId="8" xfId="0" applyNumberFormat="1" applyFont="1" applyBorder="1" applyAlignment="1">
      <alignment horizontal="center" vertical="center"/>
    </xf>
    <xf numFmtId="4" fontId="6" fillId="0" borderId="14" xfId="0" applyNumberFormat="1" applyFont="1" applyBorder="1" applyAlignment="1">
      <alignment horizontal="center" vertical="center"/>
    </xf>
    <xf numFmtId="4" fontId="6" fillId="0" borderId="3" xfId="0" applyNumberFormat="1" applyFont="1" applyBorder="1" applyAlignment="1">
      <alignment horizontal="center" vertical="center"/>
    </xf>
    <xf numFmtId="0" fontId="11" fillId="0" borderId="36" xfId="2" applyFont="1" applyBorder="1" applyAlignment="1">
      <alignment vertical="top" wrapText="1"/>
    </xf>
    <xf numFmtId="4" fontId="11" fillId="0" borderId="36" xfId="2" applyNumberFormat="1" applyFont="1" applyBorder="1" applyAlignment="1">
      <alignment horizontal="center" vertical="top" wrapText="1"/>
    </xf>
    <xf numFmtId="0" fontId="7" fillId="0" borderId="4" xfId="0" applyFont="1" applyBorder="1" applyAlignment="1">
      <alignment horizontal="center"/>
    </xf>
    <xf numFmtId="0" fontId="5" fillId="0" borderId="44" xfId="0" applyFont="1" applyFill="1" applyBorder="1" applyAlignment="1">
      <alignment horizontal="center" vertical="top" wrapText="1"/>
    </xf>
    <xf numFmtId="0" fontId="5" fillId="0" borderId="45" xfId="0" applyFont="1" applyFill="1" applyBorder="1" applyAlignment="1">
      <alignment vertical="center" wrapText="1"/>
    </xf>
    <xf numFmtId="0" fontId="5" fillId="0" borderId="45" xfId="0" applyFont="1" applyFill="1" applyBorder="1" applyAlignment="1">
      <alignment horizontal="right" vertical="top" wrapText="1"/>
    </xf>
    <xf numFmtId="0" fontId="5" fillId="0" borderId="46" xfId="0" applyFont="1" applyFill="1" applyBorder="1" applyAlignment="1">
      <alignment horizontal="right" vertical="top" wrapText="1"/>
    </xf>
    <xf numFmtId="0" fontId="5" fillId="0" borderId="47" xfId="0" applyFont="1" applyFill="1" applyBorder="1" applyAlignment="1">
      <alignment horizontal="center" vertical="top" wrapText="1"/>
    </xf>
    <xf numFmtId="0" fontId="5" fillId="4" borderId="48"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0" xfId="0" applyFont="1" applyFill="1" applyBorder="1" applyAlignment="1">
      <alignment horizontal="center" vertical="center" wrapText="1"/>
    </xf>
    <xf numFmtId="4" fontId="5" fillId="4" borderId="51" xfId="0" applyNumberFormat="1" applyFont="1" applyFill="1" applyBorder="1" applyAlignment="1">
      <alignment horizontal="right" vertical="top" wrapText="1"/>
    </xf>
    <xf numFmtId="0" fontId="6" fillId="0" borderId="42" xfId="0" applyFont="1" applyBorder="1" applyAlignment="1">
      <alignment horizontal="center" vertical="top"/>
    </xf>
    <xf numFmtId="4" fontId="6" fillId="0" borderId="52" xfId="0" applyNumberFormat="1" applyFont="1" applyBorder="1" applyAlignment="1">
      <alignment horizontal="right" vertical="top"/>
    </xf>
    <xf numFmtId="0" fontId="5" fillId="4" borderId="29" xfId="0" applyFont="1" applyFill="1" applyBorder="1" applyAlignment="1">
      <alignment horizontal="center" vertical="center" wrapText="1"/>
    </xf>
    <xf numFmtId="4" fontId="5" fillId="4" borderId="53" xfId="0" applyNumberFormat="1" applyFont="1" applyFill="1" applyBorder="1" applyAlignment="1">
      <alignment horizontal="right" vertical="top" wrapText="1"/>
    </xf>
    <xf numFmtId="0" fontId="7" fillId="0" borderId="42" xfId="0" applyFont="1" applyBorder="1" applyAlignment="1">
      <alignment horizontal="center" vertical="top"/>
    </xf>
    <xf numFmtId="0" fontId="6" fillId="0" borderId="54" xfId="0" applyFont="1" applyBorder="1" applyAlignment="1">
      <alignment horizontal="center" vertical="top"/>
    </xf>
    <xf numFmtId="4" fontId="6" fillId="0" borderId="55" xfId="0" applyNumberFormat="1" applyFont="1" applyBorder="1" applyAlignment="1">
      <alignment horizontal="right" vertical="top"/>
    </xf>
    <xf numFmtId="0" fontId="6" fillId="0" borderId="42" xfId="0" applyFont="1" applyFill="1" applyBorder="1" applyAlignment="1">
      <alignment horizontal="center" vertical="top"/>
    </xf>
    <xf numFmtId="4" fontId="6" fillId="0" borderId="52" xfId="0" applyNumberFormat="1" applyFont="1" applyFill="1" applyBorder="1" applyAlignment="1">
      <alignment horizontal="right" vertical="top"/>
    </xf>
    <xf numFmtId="3" fontId="6" fillId="0" borderId="42" xfId="0" applyNumberFormat="1" applyFont="1" applyBorder="1" applyAlignment="1">
      <alignment horizontal="center" vertical="top"/>
    </xf>
    <xf numFmtId="0" fontId="3" fillId="9" borderId="47" xfId="2" applyFont="1" applyFill="1" applyBorder="1" applyAlignment="1">
      <alignment horizontal="center" vertical="top" wrapText="1"/>
    </xf>
    <xf numFmtId="4" fontId="3" fillId="9" borderId="14" xfId="2" applyNumberFormat="1" applyFont="1" applyFill="1" applyBorder="1" applyAlignment="1">
      <alignment vertical="top" wrapText="1"/>
    </xf>
    <xf numFmtId="0" fontId="36" fillId="0" borderId="47" xfId="2" applyFont="1" applyFill="1" applyBorder="1" applyAlignment="1">
      <alignment horizontal="center" vertical="top" wrapText="1"/>
    </xf>
    <xf numFmtId="4" fontId="36" fillId="0" borderId="14" xfId="2" applyNumberFormat="1" applyFont="1" applyFill="1" applyBorder="1" applyAlignment="1">
      <alignment vertical="top" wrapText="1"/>
    </xf>
    <xf numFmtId="0" fontId="36" fillId="0" borderId="47" xfId="2" applyFont="1" applyBorder="1" applyAlignment="1">
      <alignment horizontal="center" vertical="top" wrapText="1"/>
    </xf>
    <xf numFmtId="4" fontId="36" fillId="0" borderId="14" xfId="2" applyNumberFormat="1" applyFont="1" applyBorder="1" applyAlignment="1">
      <alignment vertical="top" wrapText="1"/>
    </xf>
    <xf numFmtId="0" fontId="11" fillId="0" borderId="47" xfId="2" applyFont="1" applyBorder="1" applyAlignment="1">
      <alignment horizontal="center" vertical="top" wrapText="1"/>
    </xf>
    <xf numFmtId="0" fontId="11" fillId="0" borderId="56" xfId="2" applyFont="1" applyBorder="1" applyAlignment="1">
      <alignment horizontal="center" vertical="top" wrapText="1"/>
    </xf>
    <xf numFmtId="49" fontId="11" fillId="0" borderId="47" xfId="2" applyNumberFormat="1" applyFont="1" applyBorder="1" applyAlignment="1">
      <alignment horizontal="center" vertical="top" wrapText="1"/>
    </xf>
    <xf numFmtId="0" fontId="11" fillId="0" borderId="57" xfId="2" applyFont="1" applyBorder="1" applyAlignment="1">
      <alignment horizontal="center" vertical="top" wrapText="1"/>
    </xf>
    <xf numFmtId="0" fontId="11" fillId="0" borderId="47" xfId="2" applyFont="1" applyBorder="1" applyAlignment="1">
      <alignment vertical="top" wrapText="1"/>
    </xf>
    <xf numFmtId="4" fontId="6" fillId="0" borderId="58" xfId="0" applyNumberFormat="1" applyFont="1" applyBorder="1" applyAlignment="1">
      <alignment horizontal="right" vertical="top"/>
    </xf>
    <xf numFmtId="49" fontId="11" fillId="0" borderId="56" xfId="2" applyNumberFormat="1" applyFont="1" applyBorder="1" applyAlignment="1">
      <alignment horizontal="center" vertical="top" wrapText="1"/>
    </xf>
    <xf numFmtId="4" fontId="9" fillId="0" borderId="58" xfId="0" applyNumberFormat="1" applyFont="1" applyBorder="1" applyAlignment="1">
      <alignment horizontal="right" vertical="top"/>
    </xf>
    <xf numFmtId="4" fontId="6" fillId="0" borderId="59" xfId="0" applyNumberFormat="1" applyFont="1" applyBorder="1" applyAlignment="1">
      <alignment horizontal="right" vertical="top"/>
    </xf>
    <xf numFmtId="4" fontId="9" fillId="0" borderId="52" xfId="0" applyNumberFormat="1" applyFont="1" applyBorder="1" applyAlignment="1">
      <alignment horizontal="right" vertical="top"/>
    </xf>
    <xf numFmtId="4" fontId="5" fillId="4" borderId="53" xfId="0" applyNumberFormat="1" applyFont="1" applyFill="1" applyBorder="1" applyAlignment="1">
      <alignment horizontal="right" vertical="center" wrapText="1"/>
    </xf>
    <xf numFmtId="0" fontId="4" fillId="0" borderId="42" xfId="0" applyFont="1" applyBorder="1" applyAlignment="1">
      <alignment horizontal="center" vertical="top"/>
    </xf>
    <xf numFmtId="0" fontId="4" fillId="0" borderId="52" xfId="0" applyFont="1" applyBorder="1" applyAlignment="1">
      <alignment horizontal="right" vertical="top"/>
    </xf>
    <xf numFmtId="0" fontId="4" fillId="0" borderId="25" xfId="0" applyFont="1" applyBorder="1" applyAlignment="1">
      <alignment horizontal="center" vertical="top"/>
    </xf>
    <xf numFmtId="0" fontId="4" fillId="0" borderId="61" xfId="0" applyFont="1" applyBorder="1"/>
    <xf numFmtId="0" fontId="4" fillId="0" borderId="61" xfId="0" applyFont="1" applyBorder="1" applyAlignment="1">
      <alignment horizontal="center" vertical="top"/>
    </xf>
    <xf numFmtId="0" fontId="4" fillId="0" borderId="61" xfId="0" applyFont="1" applyBorder="1" applyAlignment="1">
      <alignment horizontal="right" vertical="top"/>
    </xf>
    <xf numFmtId="0" fontId="4" fillId="0" borderId="62" xfId="0" applyFont="1" applyBorder="1" applyAlignment="1">
      <alignment horizontal="right" vertical="top"/>
    </xf>
    <xf numFmtId="0" fontId="2" fillId="0" borderId="45" xfId="0" applyFont="1" applyBorder="1"/>
    <xf numFmtId="0" fontId="2" fillId="0" borderId="46" xfId="0" applyFont="1" applyBorder="1"/>
    <xf numFmtId="0" fontId="2" fillId="0" borderId="14" xfId="0" applyFont="1" applyFill="1" applyBorder="1" applyAlignment="1">
      <alignment horizontal="center" vertical="top"/>
    </xf>
    <xf numFmtId="0" fontId="3" fillId="2" borderId="63" xfId="1" applyFont="1" applyFill="1" applyBorder="1" applyAlignment="1">
      <alignment horizontal="center" vertical="center" wrapText="1"/>
    </xf>
    <xf numFmtId="0" fontId="3" fillId="2" borderId="64" xfId="1" applyFont="1" applyFill="1" applyBorder="1" applyAlignment="1">
      <alignment horizontal="center" vertical="center" wrapText="1"/>
    </xf>
    <xf numFmtId="0" fontId="5" fillId="4" borderId="50" xfId="0" applyFont="1" applyFill="1" applyBorder="1" applyAlignment="1">
      <alignment horizontal="center" vertical="center"/>
    </xf>
    <xf numFmtId="0" fontId="5" fillId="4" borderId="51" xfId="0" applyFont="1" applyFill="1" applyBorder="1" applyAlignment="1">
      <alignment horizontal="center" vertical="top"/>
    </xf>
    <xf numFmtId="4" fontId="9" fillId="5" borderId="52" xfId="0" applyNumberFormat="1" applyFont="1" applyFill="1" applyBorder="1" applyAlignment="1">
      <alignment horizontal="center" vertical="top"/>
    </xf>
    <xf numFmtId="4" fontId="6" fillId="0" borderId="52" xfId="0" applyNumberFormat="1" applyFont="1" applyBorder="1" applyAlignment="1">
      <alignment horizontal="center" vertical="center"/>
    </xf>
    <xf numFmtId="0" fontId="5" fillId="4" borderId="29" xfId="0" applyFont="1" applyFill="1" applyBorder="1" applyAlignment="1">
      <alignment horizontal="center" vertical="center"/>
    </xf>
    <xf numFmtId="0" fontId="5" fillId="4" borderId="53" xfId="0" applyFont="1" applyFill="1" applyBorder="1" applyAlignment="1">
      <alignment vertical="center"/>
    </xf>
    <xf numFmtId="4" fontId="9" fillId="3" borderId="52" xfId="0" applyNumberFormat="1" applyFont="1" applyFill="1" applyBorder="1" applyAlignment="1">
      <alignment horizontal="center" vertical="top"/>
    </xf>
    <xf numFmtId="4" fontId="9" fillId="0" borderId="52" xfId="0" applyNumberFormat="1" applyFont="1" applyBorder="1" applyAlignment="1">
      <alignment horizontal="center" vertical="top"/>
    </xf>
    <xf numFmtId="0" fontId="0" fillId="0" borderId="14" xfId="0" applyBorder="1"/>
    <xf numFmtId="4" fontId="9" fillId="0" borderId="52" xfId="0" applyNumberFormat="1" applyFont="1" applyFill="1" applyBorder="1" applyAlignment="1">
      <alignment horizontal="center" vertical="center"/>
    </xf>
    <xf numFmtId="4" fontId="6" fillId="0" borderId="52" xfId="0" applyNumberFormat="1" applyFont="1" applyFill="1" applyBorder="1" applyAlignment="1">
      <alignment horizontal="center" vertical="center"/>
    </xf>
    <xf numFmtId="4" fontId="6" fillId="0" borderId="52" xfId="0" applyNumberFormat="1" applyFont="1" applyBorder="1" applyAlignment="1">
      <alignment horizontal="center" vertical="top"/>
    </xf>
    <xf numFmtId="4" fontId="9" fillId="0" borderId="52" xfId="0" applyNumberFormat="1" applyFont="1" applyBorder="1" applyAlignment="1">
      <alignment horizontal="center" vertical="center"/>
    </xf>
    <xf numFmtId="4" fontId="9" fillId="0" borderId="52" xfId="0" applyNumberFormat="1" applyFont="1" applyFill="1" applyBorder="1" applyAlignment="1">
      <alignment horizontal="center" vertical="top"/>
    </xf>
    <xf numFmtId="4" fontId="9" fillId="5" borderId="52" xfId="0" applyNumberFormat="1" applyFont="1" applyFill="1" applyBorder="1" applyAlignment="1">
      <alignment horizontal="center" vertical="center"/>
    </xf>
    <xf numFmtId="0" fontId="0" fillId="0" borderId="47" xfId="0" applyBorder="1"/>
    <xf numFmtId="0" fontId="10" fillId="0" borderId="0" xfId="0" applyFont="1" applyBorder="1" applyAlignment="1">
      <alignment horizontal="left" vertical="center" wrapText="1"/>
    </xf>
    <xf numFmtId="0" fontId="6" fillId="0" borderId="47" xfId="0" applyFont="1" applyBorder="1" applyAlignment="1">
      <alignment horizontal="center" vertical="top"/>
    </xf>
    <xf numFmtId="0" fontId="2" fillId="0" borderId="47" xfId="0" applyFont="1" applyBorder="1"/>
    <xf numFmtId="0" fontId="6" fillId="4" borderId="42" xfId="0" applyFont="1" applyFill="1" applyBorder="1" applyAlignment="1">
      <alignment horizontal="center" vertical="top"/>
    </xf>
    <xf numFmtId="4" fontId="6" fillId="4" borderId="52" xfId="0" applyNumberFormat="1" applyFont="1" applyFill="1" applyBorder="1" applyAlignment="1">
      <alignment horizontal="center" vertical="center"/>
    </xf>
    <xf numFmtId="4" fontId="11" fillId="0" borderId="14" xfId="2" applyNumberFormat="1" applyFont="1" applyBorder="1" applyAlignment="1">
      <alignment vertical="top" wrapText="1"/>
    </xf>
    <xf numFmtId="0" fontId="11" fillId="10" borderId="47" xfId="2" applyFont="1" applyFill="1" applyBorder="1" applyAlignment="1">
      <alignment horizontal="center" vertical="top" wrapText="1"/>
    </xf>
    <xf numFmtId="4" fontId="11" fillId="10" borderId="14" xfId="2" applyNumberFormat="1" applyFont="1" applyFill="1" applyBorder="1" applyAlignment="1">
      <alignment horizontal="right" vertical="top" wrapText="1"/>
    </xf>
    <xf numFmtId="4" fontId="11" fillId="0" borderId="14" xfId="2" applyNumberFormat="1" applyFont="1" applyBorder="1" applyAlignment="1">
      <alignment horizontal="right" vertical="top" wrapText="1"/>
    </xf>
    <xf numFmtId="0" fontId="2" fillId="0" borderId="14" xfId="0" applyFont="1" applyBorder="1"/>
    <xf numFmtId="0" fontId="7" fillId="0" borderId="0" xfId="0" applyFont="1" applyBorder="1" applyAlignment="1">
      <alignment vertical="top"/>
    </xf>
    <xf numFmtId="0" fontId="7" fillId="0" borderId="14" xfId="0" applyFont="1" applyBorder="1" applyAlignment="1">
      <alignment vertical="top"/>
    </xf>
    <xf numFmtId="4" fontId="6" fillId="0" borderId="0" xfId="0" applyNumberFormat="1" applyFont="1" applyBorder="1" applyAlignment="1">
      <alignment vertical="center"/>
    </xf>
    <xf numFmtId="4" fontId="9" fillId="0" borderId="0" xfId="0" applyNumberFormat="1" applyFont="1" applyBorder="1" applyAlignment="1">
      <alignment horizontal="center" vertical="center"/>
    </xf>
    <xf numFmtId="4" fontId="6" fillId="0" borderId="0" xfId="0" applyNumberFormat="1" applyFont="1" applyBorder="1" applyAlignment="1">
      <alignment horizontal="center" vertical="center"/>
    </xf>
    <xf numFmtId="4" fontId="6" fillId="0" borderId="0" xfId="0" applyNumberFormat="1" applyFont="1" applyBorder="1"/>
    <xf numFmtId="4" fontId="9" fillId="0" borderId="0" xfId="0" applyNumberFormat="1" applyFont="1" applyBorder="1"/>
    <xf numFmtId="0" fontId="6" fillId="0" borderId="25" xfId="0" applyFont="1" applyBorder="1" applyAlignment="1">
      <alignment horizontal="center" vertical="top"/>
    </xf>
    <xf numFmtId="0" fontId="6" fillId="0" borderId="61" xfId="0" applyFont="1" applyBorder="1" applyAlignment="1">
      <alignment horizontal="center" vertical="top"/>
    </xf>
    <xf numFmtId="0" fontId="6" fillId="0" borderId="61" xfId="0" applyFont="1" applyBorder="1" applyAlignment="1">
      <alignment horizontal="left" vertical="top"/>
    </xf>
    <xf numFmtId="0" fontId="6" fillId="0" borderId="61" xfId="0" applyFont="1" applyBorder="1"/>
    <xf numFmtId="4" fontId="6" fillId="0" borderId="61" xfId="0" applyNumberFormat="1" applyFont="1" applyBorder="1" applyAlignment="1">
      <alignment horizontal="center" vertical="center"/>
    </xf>
    <xf numFmtId="4" fontId="6" fillId="0" borderId="62" xfId="0" applyNumberFormat="1" applyFont="1" applyBorder="1" applyAlignment="1">
      <alignment horizontal="center" vertical="center"/>
    </xf>
    <xf numFmtId="4" fontId="11" fillId="0" borderId="65" xfId="2" applyNumberFormat="1" applyFont="1" applyBorder="1" applyAlignment="1">
      <alignment horizontal="right" vertical="top" wrapText="1"/>
    </xf>
    <xf numFmtId="4" fontId="36" fillId="0" borderId="66" xfId="2" applyNumberFormat="1" applyFont="1" applyBorder="1" applyAlignment="1">
      <alignment vertical="top" wrapText="1"/>
    </xf>
    <xf numFmtId="4" fontId="11" fillId="0" borderId="66" xfId="2" applyNumberFormat="1" applyFont="1" applyBorder="1" applyAlignment="1">
      <alignment horizontal="right" vertical="top" wrapText="1"/>
    </xf>
    <xf numFmtId="4" fontId="11" fillId="0" borderId="65" xfId="2" applyNumberFormat="1" applyFont="1" applyBorder="1" applyAlignment="1">
      <alignment vertical="top" wrapText="1"/>
    </xf>
    <xf numFmtId="10" fontId="11" fillId="0" borderId="65" xfId="2" applyNumberFormat="1" applyFont="1" applyBorder="1" applyAlignment="1">
      <alignment vertical="top" wrapText="1"/>
    </xf>
    <xf numFmtId="4" fontId="11" fillId="0" borderId="66" xfId="2" applyNumberFormat="1" applyFont="1" applyBorder="1" applyAlignment="1">
      <alignment vertical="top" wrapText="1"/>
    </xf>
    <xf numFmtId="0" fontId="7" fillId="0" borderId="54" xfId="0" applyFont="1" applyBorder="1" applyAlignment="1">
      <alignment horizontal="center" vertical="top"/>
    </xf>
    <xf numFmtId="4" fontId="6" fillId="0" borderId="67" xfId="0" applyNumberFormat="1" applyFont="1" applyBorder="1" applyAlignment="1">
      <alignment vertical="center"/>
    </xf>
    <xf numFmtId="0" fontId="5" fillId="0" borderId="0" xfId="0" applyFont="1" applyFill="1" applyBorder="1" applyAlignment="1">
      <alignment horizontal="right" vertical="top" wrapText="1"/>
    </xf>
    <xf numFmtId="0" fontId="5" fillId="0" borderId="14" xfId="0" applyFont="1" applyFill="1" applyBorder="1" applyAlignment="1">
      <alignment horizontal="right" vertical="top" wrapText="1"/>
    </xf>
    <xf numFmtId="0" fontId="39" fillId="0" borderId="0" xfId="0" applyFont="1" applyAlignment="1">
      <alignment horizontal="center" vertical="center"/>
    </xf>
    <xf numFmtId="0" fontId="5" fillId="0" borderId="0" xfId="0" applyFont="1" applyFill="1" applyBorder="1" applyAlignment="1">
      <alignment vertical="top" wrapText="1"/>
    </xf>
    <xf numFmtId="0" fontId="5" fillId="0" borderId="14" xfId="0" applyFont="1" applyFill="1" applyBorder="1" applyAlignment="1">
      <alignment vertical="top" wrapText="1"/>
    </xf>
    <xf numFmtId="0" fontId="32" fillId="0" borderId="47"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xf>
    <xf numFmtId="17" fontId="40" fillId="0" borderId="14" xfId="0" applyNumberFormat="1" applyFont="1" applyFill="1" applyBorder="1" applyAlignment="1">
      <alignment horizontal="left" vertical="center" wrapText="1"/>
    </xf>
    <xf numFmtId="17" fontId="40" fillId="0" borderId="0" xfId="0" applyNumberFormat="1" applyFont="1" applyFill="1" applyBorder="1" applyAlignment="1">
      <alignment horizontal="left" vertical="center" wrapText="1"/>
    </xf>
    <xf numFmtId="0" fontId="6" fillId="0" borderId="70" xfId="0" applyFont="1" applyBorder="1" applyAlignment="1">
      <alignment horizontal="center" vertical="top"/>
    </xf>
    <xf numFmtId="0" fontId="7" fillId="0" borderId="70" xfId="0" applyFont="1" applyBorder="1" applyAlignment="1">
      <alignment horizontal="left" vertical="top" wrapText="1"/>
    </xf>
    <xf numFmtId="0" fontId="7" fillId="0" borderId="70" xfId="0" applyFont="1" applyBorder="1" applyAlignment="1">
      <alignment horizontal="center" vertical="top"/>
    </xf>
    <xf numFmtId="4" fontId="6" fillId="0" borderId="70" xfId="0" applyNumberFormat="1" applyFont="1" applyBorder="1" applyAlignment="1">
      <alignment horizontal="center" vertical="top"/>
    </xf>
    <xf numFmtId="4" fontId="6" fillId="0" borderId="70" xfId="0" applyNumberFormat="1" applyFont="1" applyBorder="1" applyAlignment="1">
      <alignment horizontal="right" vertical="top"/>
    </xf>
    <xf numFmtId="0" fontId="11" fillId="0" borderId="71" xfId="2" applyFont="1" applyBorder="1" applyAlignment="1">
      <alignment horizontal="center" vertical="top" wrapText="1"/>
    </xf>
    <xf numFmtId="4" fontId="11" fillId="0" borderId="71" xfId="2" applyNumberFormat="1" applyFont="1" applyBorder="1" applyAlignment="1">
      <alignment horizontal="center" vertical="top" wrapText="1"/>
    </xf>
    <xf numFmtId="4" fontId="6" fillId="0" borderId="72" xfId="0" applyNumberFormat="1" applyFont="1" applyBorder="1" applyAlignment="1">
      <alignment horizontal="right" vertical="top"/>
    </xf>
    <xf numFmtId="0" fontId="11" fillId="0" borderId="73" xfId="2" applyFont="1" applyBorder="1" applyAlignment="1">
      <alignment horizontal="center" vertical="top" wrapText="1"/>
    </xf>
    <xf numFmtId="0" fontId="11" fillId="0" borderId="71" xfId="2" applyFont="1" applyBorder="1" applyAlignment="1">
      <alignment vertical="top" wrapText="1"/>
    </xf>
    <xf numFmtId="4" fontId="6" fillId="0" borderId="71" xfId="0" applyNumberFormat="1" applyFont="1" applyBorder="1" applyAlignment="1">
      <alignment horizontal="center" vertical="top"/>
    </xf>
    <xf numFmtId="4" fontId="6" fillId="0" borderId="71" xfId="0" applyNumberFormat="1" applyFont="1" applyBorder="1" applyAlignment="1">
      <alignment horizontal="right" vertical="top"/>
    </xf>
    <xf numFmtId="4" fontId="6" fillId="0" borderId="72" xfId="0" applyNumberFormat="1" applyFont="1" applyBorder="1" applyAlignment="1">
      <alignment horizontal="center" vertical="center"/>
    </xf>
    <xf numFmtId="4" fontId="6" fillId="0" borderId="72" xfId="0" applyNumberFormat="1" applyFont="1" applyBorder="1" applyAlignment="1">
      <alignment horizontal="center" vertical="top"/>
    </xf>
    <xf numFmtId="4" fontId="9" fillId="5" borderId="72" xfId="0" applyNumberFormat="1" applyFont="1" applyFill="1" applyBorder="1" applyAlignment="1">
      <alignment horizontal="center" vertical="top"/>
    </xf>
    <xf numFmtId="4" fontId="6" fillId="0" borderId="74" xfId="0" applyNumberFormat="1" applyFont="1" applyBorder="1" applyAlignment="1">
      <alignment horizontal="center" vertical="center"/>
    </xf>
    <xf numFmtId="4" fontId="6" fillId="0" borderId="74" xfId="0" applyNumberFormat="1" applyFont="1" applyBorder="1" applyAlignment="1">
      <alignment horizontal="center" vertical="top"/>
    </xf>
    <xf numFmtId="0" fontId="6" fillId="0" borderId="75" xfId="0" applyFont="1" applyBorder="1" applyAlignment="1">
      <alignment horizontal="center" vertical="top"/>
    </xf>
    <xf numFmtId="0" fontId="7" fillId="0" borderId="75" xfId="0" applyFont="1" applyBorder="1" applyAlignment="1">
      <alignment horizontal="left" vertical="top" wrapText="1"/>
    </xf>
    <xf numFmtId="0" fontId="7" fillId="0" borderId="75" xfId="0" applyFont="1" applyBorder="1" applyAlignment="1">
      <alignment horizontal="center"/>
    </xf>
    <xf numFmtId="4" fontId="6" fillId="0" borderId="75" xfId="0" applyNumberFormat="1" applyFont="1" applyBorder="1" applyAlignment="1">
      <alignment horizontal="center" vertical="center"/>
    </xf>
    <xf numFmtId="0" fontId="7" fillId="0" borderId="75" xfId="0" applyFont="1" applyBorder="1" applyAlignment="1">
      <alignment horizontal="center" vertical="top"/>
    </xf>
    <xf numFmtId="4" fontId="9" fillId="5" borderId="74" xfId="0" applyNumberFormat="1" applyFont="1" applyFill="1" applyBorder="1" applyAlignment="1">
      <alignment horizontal="center" vertical="top"/>
    </xf>
    <xf numFmtId="0" fontId="11" fillId="0" borderId="76" xfId="2" applyFont="1" applyBorder="1" applyAlignment="1">
      <alignment horizontal="center" vertical="top" wrapText="1"/>
    </xf>
    <xf numFmtId="4" fontId="11" fillId="0" borderId="76" xfId="2" applyNumberFormat="1" applyFont="1" applyBorder="1" applyAlignment="1">
      <alignment horizontal="center" vertical="top" wrapText="1"/>
    </xf>
    <xf numFmtId="4" fontId="11" fillId="0" borderId="76" xfId="2" applyNumberFormat="1" applyFont="1" applyBorder="1" applyAlignment="1">
      <alignment vertical="top" wrapText="1"/>
    </xf>
    <xf numFmtId="4" fontId="37" fillId="0" borderId="76" xfId="2" applyNumberFormat="1" applyFont="1" applyBorder="1" applyAlignment="1">
      <alignment horizontal="right" vertical="top" wrapText="1"/>
    </xf>
    <xf numFmtId="4" fontId="6" fillId="0" borderId="70" xfId="0" applyNumberFormat="1" applyFont="1" applyBorder="1" applyAlignment="1">
      <alignment horizontal="center" vertical="center"/>
    </xf>
    <xf numFmtId="0" fontId="0" fillId="0" borderId="66" xfId="0" applyBorder="1"/>
    <xf numFmtId="4" fontId="6" fillId="0" borderId="28" xfId="0" applyNumberFormat="1" applyFont="1" applyBorder="1" applyAlignment="1">
      <alignment horizontal="center" vertical="center"/>
    </xf>
    <xf numFmtId="0" fontId="7" fillId="0" borderId="77" xfId="0" applyFont="1" applyBorder="1" applyAlignment="1">
      <alignment horizontal="center" vertical="top"/>
    </xf>
    <xf numFmtId="4" fontId="6" fillId="0" borderId="67" xfId="0" applyNumberFormat="1" applyFont="1" applyBorder="1" applyAlignment="1">
      <alignment horizontal="center" vertical="center"/>
    </xf>
    <xf numFmtId="4" fontId="6" fillId="0" borderId="77" xfId="0" applyNumberFormat="1" applyFont="1" applyBorder="1" applyAlignment="1">
      <alignment vertical="center"/>
    </xf>
    <xf numFmtId="4" fontId="9" fillId="0" borderId="72" xfId="0" applyNumberFormat="1" applyFont="1" applyBorder="1" applyAlignment="1">
      <alignment horizontal="center" vertical="top"/>
    </xf>
    <xf numFmtId="0" fontId="1" fillId="0" borderId="0" xfId="1"/>
    <xf numFmtId="0" fontId="3" fillId="0" borderId="18" xfId="1" applyFont="1" applyBorder="1" applyAlignment="1">
      <alignment horizontal="center" vertical="center" wrapText="1"/>
    </xf>
    <xf numFmtId="4" fontId="1" fillId="0" borderId="0" xfId="1" applyNumberFormat="1"/>
    <xf numFmtId="4" fontId="42" fillId="0" borderId="2" xfId="1" applyNumberFormat="1" applyFont="1" applyBorder="1" applyAlignment="1">
      <alignment horizontal="center" vertical="top" wrapText="1"/>
    </xf>
    <xf numFmtId="4" fontId="42" fillId="0" borderId="2" xfId="1" applyNumberFormat="1" applyFont="1" applyBorder="1" applyAlignment="1">
      <alignment horizontal="center" vertical="center" wrapText="1"/>
    </xf>
    <xf numFmtId="4" fontId="43" fillId="0" borderId="2" xfId="1" applyNumberFormat="1" applyFont="1" applyBorder="1" applyAlignment="1">
      <alignment horizontal="center" vertical="center" wrapText="1"/>
    </xf>
    <xf numFmtId="10" fontId="42" fillId="0" borderId="2" xfId="1" applyNumberFormat="1" applyFont="1" applyBorder="1" applyAlignment="1">
      <alignment horizontal="center" vertical="top" wrapText="1"/>
    </xf>
    <xf numFmtId="0" fontId="32" fillId="0" borderId="14" xfId="0" applyFont="1" applyFill="1" applyBorder="1" applyAlignment="1">
      <alignment vertical="center" wrapText="1"/>
    </xf>
    <xf numFmtId="0" fontId="1" fillId="0" borderId="47" xfId="1" applyBorder="1"/>
    <xf numFmtId="0" fontId="1" fillId="0" borderId="0" xfId="1" applyBorder="1"/>
    <xf numFmtId="0" fontId="1" fillId="0" borderId="14" xfId="1" applyBorder="1"/>
    <xf numFmtId="0" fontId="42" fillId="0" borderId="29" xfId="1" applyFont="1" applyBorder="1" applyAlignment="1">
      <alignment horizontal="center" vertical="top" wrapText="1"/>
    </xf>
    <xf numFmtId="10" fontId="42" fillId="0" borderId="53" xfId="1" applyNumberFormat="1" applyFont="1" applyBorder="1" applyAlignment="1">
      <alignment horizontal="center" vertical="center" wrapText="1"/>
    </xf>
    <xf numFmtId="10" fontId="42" fillId="0" borderId="26" xfId="1" applyNumberFormat="1" applyFont="1" applyBorder="1" applyAlignment="1">
      <alignment horizontal="center" vertical="top" wrapText="1"/>
    </xf>
    <xf numFmtId="0" fontId="42" fillId="0" borderId="60" xfId="1" applyFont="1" applyBorder="1" applyAlignment="1">
      <alignment horizontal="center" vertical="top" wrapText="1"/>
    </xf>
    <xf numFmtId="0" fontId="42" fillId="0" borderId="19" xfId="1" applyFont="1" applyBorder="1" applyAlignment="1">
      <alignment vertical="top" wrapText="1"/>
    </xf>
    <xf numFmtId="0" fontId="42" fillId="0" borderId="78" xfId="1" applyFont="1" applyBorder="1" applyAlignment="1">
      <alignment vertical="top" wrapText="1"/>
    </xf>
    <xf numFmtId="0" fontId="42" fillId="0" borderId="42" xfId="1" applyFont="1" applyBorder="1" applyAlignment="1">
      <alignment vertical="top" wrapText="1"/>
    </xf>
    <xf numFmtId="0" fontId="42" fillId="0" borderId="25" xfId="1" applyFont="1" applyBorder="1" applyAlignment="1">
      <alignment vertical="top" wrapText="1"/>
    </xf>
    <xf numFmtId="0" fontId="32" fillId="0" borderId="0" xfId="0" applyFont="1" applyFill="1" applyBorder="1" applyAlignment="1">
      <alignment horizontal="left" vertical="center" wrapText="1"/>
    </xf>
    <xf numFmtId="0" fontId="3" fillId="0" borderId="0" xfId="1" applyFont="1" applyAlignment="1">
      <alignment horizontal="center" vertical="center"/>
    </xf>
    <xf numFmtId="0" fontId="42" fillId="0" borderId="16" xfId="1" applyFont="1" applyBorder="1" applyAlignment="1">
      <alignment horizontal="left" vertical="top"/>
    </xf>
    <xf numFmtId="0" fontId="42" fillId="0" borderId="16" xfId="1" applyFont="1" applyBorder="1" applyAlignment="1">
      <alignment horizontal="left" vertical="top" wrapText="1"/>
    </xf>
    <xf numFmtId="0" fontId="43" fillId="0" borderId="16" xfId="1" applyFont="1" applyBorder="1" applyAlignment="1">
      <alignment horizontal="center" vertical="top" wrapText="1"/>
    </xf>
    <xf numFmtId="0" fontId="43" fillId="0" borderId="80" xfId="1" applyFont="1" applyBorder="1" applyAlignment="1">
      <alignment horizontal="center" vertical="top" wrapText="1"/>
    </xf>
    <xf numFmtId="4" fontId="42" fillId="0" borderId="29" xfId="1" applyNumberFormat="1" applyFont="1" applyBorder="1" applyAlignment="1">
      <alignment horizontal="center" vertical="center" wrapText="1"/>
    </xf>
    <xf numFmtId="4" fontId="42" fillId="0" borderId="29" xfId="1" applyNumberFormat="1" applyFont="1" applyBorder="1" applyAlignment="1">
      <alignment vertical="top" wrapText="1"/>
    </xf>
    <xf numFmtId="4" fontId="42" fillId="0" borderId="2" xfId="1" applyNumberFormat="1" applyFont="1" applyBorder="1" applyAlignment="1">
      <alignment vertical="top" wrapText="1"/>
    </xf>
    <xf numFmtId="0" fontId="42" fillId="0" borderId="53" xfId="1" applyFont="1" applyBorder="1" applyAlignment="1">
      <alignment vertical="top" wrapText="1"/>
    </xf>
    <xf numFmtId="4" fontId="42" fillId="0" borderId="29" xfId="1" applyNumberFormat="1" applyFont="1" applyBorder="1" applyAlignment="1">
      <alignment horizontal="center" vertical="top" wrapText="1"/>
    </xf>
    <xf numFmtId="10" fontId="42" fillId="0" borderId="29" xfId="1" applyNumberFormat="1" applyFont="1" applyBorder="1" applyAlignment="1">
      <alignment horizontal="center" vertical="top" wrapText="1"/>
    </xf>
    <xf numFmtId="10" fontId="42" fillId="0" borderId="18" xfId="1" applyNumberFormat="1" applyFont="1" applyBorder="1" applyAlignment="1">
      <alignment vertical="top" wrapText="1"/>
    </xf>
    <xf numFmtId="10" fontId="42" fillId="0" borderId="79" xfId="1" applyNumberFormat="1" applyFont="1" applyBorder="1" applyAlignment="1">
      <alignment vertical="top" wrapText="1"/>
    </xf>
    <xf numFmtId="0" fontId="42" fillId="0" borderId="3" xfId="1" applyFont="1" applyBorder="1" applyAlignment="1">
      <alignment vertical="top" wrapText="1"/>
    </xf>
    <xf numFmtId="0" fontId="42" fillId="0" borderId="52" xfId="1" applyFont="1" applyBorder="1" applyAlignment="1">
      <alignment vertical="top" wrapText="1"/>
    </xf>
    <xf numFmtId="10" fontId="42" fillId="0" borderId="81" xfId="1" applyNumberFormat="1" applyFont="1" applyBorder="1" applyAlignment="1">
      <alignment horizontal="center" vertical="top" wrapText="1"/>
    </xf>
    <xf numFmtId="0" fontId="42" fillId="0" borderId="61" xfId="1" applyFont="1" applyBorder="1" applyAlignment="1">
      <alignment vertical="top" wrapText="1"/>
    </xf>
    <xf numFmtId="0" fontId="42" fillId="0" borderId="62" xfId="1" applyFont="1" applyBorder="1" applyAlignment="1">
      <alignment vertical="top" wrapText="1"/>
    </xf>
    <xf numFmtId="0" fontId="32" fillId="0" borderId="0" xfId="0" applyFont="1" applyFill="1" applyBorder="1" applyAlignment="1">
      <alignment horizontal="right" vertical="center" wrapText="1"/>
    </xf>
    <xf numFmtId="0" fontId="32" fillId="0" borderId="47"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5" fillId="4" borderId="60"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41" fillId="0" borderId="68" xfId="0" applyFont="1" applyFill="1" applyBorder="1" applyAlignment="1">
      <alignment horizontal="center" vertical="center" wrapText="1"/>
    </xf>
    <xf numFmtId="0" fontId="41" fillId="0" borderId="43" xfId="0" applyFont="1" applyFill="1" applyBorder="1" applyAlignment="1">
      <alignment horizontal="center" vertical="center" wrapText="1"/>
    </xf>
    <xf numFmtId="0" fontId="41" fillId="0" borderId="69" xfId="0" applyFont="1" applyFill="1" applyBorder="1" applyAlignment="1">
      <alignment horizontal="center" vertical="center" wrapText="1"/>
    </xf>
    <xf numFmtId="0" fontId="7" fillId="0" borderId="8" xfId="0" applyFont="1" applyBorder="1" applyAlignment="1">
      <alignment horizontal="center" vertical="top"/>
    </xf>
    <xf numFmtId="0" fontId="7" fillId="0" borderId="9" xfId="0" applyFont="1" applyBorder="1" applyAlignment="1">
      <alignment horizontal="center" vertical="top"/>
    </xf>
    <xf numFmtId="4" fontId="9" fillId="0" borderId="11" xfId="0" applyNumberFormat="1" applyFont="1" applyBorder="1" applyAlignment="1">
      <alignment horizontal="center" vertical="center"/>
    </xf>
    <xf numFmtId="4" fontId="9" fillId="0" borderId="12" xfId="0" applyNumberFormat="1" applyFont="1" applyBorder="1" applyAlignment="1">
      <alignment horizontal="center" vertical="center"/>
    </xf>
    <xf numFmtId="4" fontId="6" fillId="0" borderId="16" xfId="0" applyNumberFormat="1" applyFont="1" applyBorder="1" applyAlignment="1">
      <alignment horizontal="center" vertical="center"/>
    </xf>
    <xf numFmtId="4" fontId="6" fillId="0" borderId="17" xfId="0" applyNumberFormat="1" applyFont="1" applyBorder="1" applyAlignment="1">
      <alignment horizontal="center" vertical="center"/>
    </xf>
    <xf numFmtId="4" fontId="6" fillId="0" borderId="18" xfId="0" applyNumberFormat="1" applyFont="1" applyBorder="1" applyAlignment="1">
      <alignment horizontal="center" vertical="center"/>
    </xf>
    <xf numFmtId="4" fontId="6" fillId="0" borderId="75" xfId="0" applyNumberFormat="1" applyFont="1" applyBorder="1" applyAlignment="1">
      <alignment horizontal="center" vertical="center"/>
    </xf>
    <xf numFmtId="4" fontId="6" fillId="0" borderId="2" xfId="0" applyNumberFormat="1" applyFont="1" applyBorder="1" applyAlignment="1">
      <alignment horizontal="center" vertical="center"/>
    </xf>
    <xf numFmtId="4" fontId="6" fillId="0" borderId="8" xfId="0" applyNumberFormat="1" applyFont="1" applyBorder="1" applyAlignment="1">
      <alignment horizontal="center" vertical="center"/>
    </xf>
    <xf numFmtId="4" fontId="6" fillId="0" borderId="14" xfId="0" applyNumberFormat="1" applyFont="1" applyBorder="1" applyAlignment="1">
      <alignment horizontal="center" vertical="center"/>
    </xf>
    <xf numFmtId="2" fontId="6" fillId="0" borderId="15" xfId="0" applyNumberFormat="1" applyFont="1" applyBorder="1" applyAlignment="1">
      <alignment horizontal="center"/>
    </xf>
    <xf numFmtId="2" fontId="6" fillId="0" borderId="13" xfId="0" applyNumberFormat="1" applyFont="1" applyBorder="1" applyAlignment="1">
      <alignment horizontal="center"/>
    </xf>
    <xf numFmtId="4" fontId="6" fillId="0" borderId="15" xfId="0" applyNumberFormat="1" applyFont="1" applyBorder="1" applyAlignment="1">
      <alignment horizontal="center" vertical="center"/>
    </xf>
    <xf numFmtId="4" fontId="6" fillId="0" borderId="13" xfId="0" applyNumberFormat="1" applyFont="1" applyBorder="1" applyAlignment="1">
      <alignment horizontal="center" vertical="center"/>
    </xf>
    <xf numFmtId="4" fontId="6" fillId="0" borderId="3" xfId="0" applyNumberFormat="1" applyFont="1" applyBorder="1" applyAlignment="1">
      <alignment horizontal="center" vertical="center"/>
    </xf>
    <xf numFmtId="4" fontId="6" fillId="0" borderId="6" xfId="0" applyNumberFormat="1" applyFont="1" applyBorder="1" applyAlignment="1">
      <alignment horizontal="center" vertical="center"/>
    </xf>
    <xf numFmtId="4" fontId="6" fillId="0" borderId="7" xfId="0" applyNumberFormat="1" applyFont="1" applyBorder="1" applyAlignment="1">
      <alignment horizontal="center" vertical="center"/>
    </xf>
    <xf numFmtId="0" fontId="3" fillId="6" borderId="29" xfId="1" applyFont="1" applyFill="1" applyBorder="1" applyAlignment="1">
      <alignment horizontal="center" vertical="center" wrapText="1"/>
    </xf>
    <xf numFmtId="0" fontId="3" fillId="6" borderId="78" xfId="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53" xfId="1" applyFont="1" applyBorder="1" applyAlignment="1">
      <alignment horizontal="center" vertical="center" wrapText="1"/>
    </xf>
    <xf numFmtId="0" fontId="3" fillId="0" borderId="79"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17" xfId="1" applyFont="1" applyBorder="1" applyAlignment="1">
      <alignment horizontal="center" vertical="center" wrapText="1"/>
    </xf>
    <xf numFmtId="0" fontId="32" fillId="0" borderId="14" xfId="0" applyFont="1" applyFill="1" applyBorder="1" applyAlignment="1">
      <alignment horizontal="left" vertical="center" wrapText="1"/>
    </xf>
    <xf numFmtId="0" fontId="32" fillId="0" borderId="14" xfId="0" applyFont="1" applyFill="1" applyBorder="1" applyAlignment="1">
      <alignment horizontal="right" vertical="center" wrapText="1"/>
    </xf>
    <xf numFmtId="0" fontId="12" fillId="0" borderId="0" xfId="1" applyFont="1" applyFill="1" applyBorder="1" applyAlignment="1">
      <alignment horizontal="left" vertical="center" wrapText="1"/>
    </xf>
    <xf numFmtId="0" fontId="12" fillId="0" borderId="0" xfId="1" applyFont="1" applyAlignment="1">
      <alignment horizontal="left" vertical="center"/>
    </xf>
    <xf numFmtId="0" fontId="15" fillId="0" borderId="0" xfId="1" applyFont="1" applyAlignment="1">
      <alignment horizontal="center" vertical="center" wrapText="1"/>
    </xf>
    <xf numFmtId="0" fontId="12" fillId="6" borderId="19" xfId="1" applyFont="1" applyFill="1" applyBorder="1" applyAlignment="1" applyProtection="1">
      <alignment horizontal="left" vertical="center" wrapText="1"/>
      <protection locked="0"/>
    </xf>
    <xf numFmtId="9" fontId="12" fillId="6" borderId="19" xfId="1" applyNumberFormat="1" applyFont="1" applyFill="1" applyBorder="1" applyAlignment="1" applyProtection="1">
      <alignment horizontal="left" vertical="center" wrapText="1"/>
      <protection locked="0"/>
    </xf>
    <xf numFmtId="0" fontId="15" fillId="2" borderId="20"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8" fillId="2" borderId="24" xfId="1" applyFont="1" applyFill="1" applyBorder="1" applyAlignment="1">
      <alignment horizontal="center" vertical="center" wrapText="1"/>
    </xf>
    <xf numFmtId="0" fontId="18" fillId="2" borderId="28" xfId="1" applyFont="1" applyFill="1" applyBorder="1" applyAlignment="1">
      <alignment horizontal="center" vertical="center" wrapText="1"/>
    </xf>
    <xf numFmtId="0" fontId="29" fillId="0" borderId="0" xfId="1" applyFont="1" applyBorder="1" applyAlignment="1">
      <alignment vertical="center" wrapText="1"/>
    </xf>
    <xf numFmtId="0" fontId="27" fillId="0" borderId="0" xfId="1" applyFont="1" applyAlignment="1">
      <alignment horizontal="left" vertical="center"/>
    </xf>
    <xf numFmtId="0" fontId="27" fillId="0" borderId="16" xfId="1" applyFont="1" applyBorder="1" applyAlignment="1">
      <alignment horizontal="left" vertical="center" wrapText="1"/>
    </xf>
    <xf numFmtId="0" fontId="27" fillId="0" borderId="19" xfId="1" applyFont="1" applyBorder="1" applyAlignment="1">
      <alignment horizontal="left" vertical="center" wrapText="1"/>
    </xf>
    <xf numFmtId="0" fontId="27" fillId="0" borderId="17" xfId="1" applyFont="1" applyBorder="1" applyAlignment="1">
      <alignment horizontal="left" vertical="center" wrapText="1"/>
    </xf>
    <xf numFmtId="0" fontId="28" fillId="0" borderId="36" xfId="1" applyFont="1" applyBorder="1" applyAlignment="1">
      <alignment horizontal="center" vertical="center"/>
    </xf>
    <xf numFmtId="0" fontId="27" fillId="7" borderId="0" xfId="1" applyFont="1" applyFill="1" applyBorder="1" applyAlignment="1" applyProtection="1">
      <alignment horizontal="center" vertical="center"/>
      <protection locked="0"/>
    </xf>
    <xf numFmtId="0" fontId="19" fillId="7" borderId="0" xfId="1" applyFont="1" applyFill="1" applyAlignment="1" applyProtection="1">
      <alignment horizontal="center" vertical="center"/>
      <protection locked="0"/>
    </xf>
    <xf numFmtId="0" fontId="20" fillId="8" borderId="0" xfId="1" applyFont="1" applyFill="1" applyAlignment="1">
      <alignment horizontal="left" vertical="center" wrapText="1"/>
    </xf>
    <xf numFmtId="0" fontId="31" fillId="0" borderId="0" xfId="1" applyFont="1" applyBorder="1" applyAlignment="1">
      <alignment horizontal="left" vertical="center"/>
    </xf>
    <xf numFmtId="0" fontId="29" fillId="0" borderId="0" xfId="1" applyFont="1" applyBorder="1" applyAlignment="1">
      <alignment horizontal="center" vertical="center" wrapText="1"/>
    </xf>
    <xf numFmtId="0" fontId="1" fillId="0" borderId="2" xfId="1" applyFont="1" applyBorder="1" applyAlignment="1">
      <alignment horizontal="center"/>
    </xf>
    <xf numFmtId="0" fontId="1" fillId="0" borderId="0" xfId="1" applyFont="1" applyAlignment="1">
      <alignment horizontal="center" vertical="center" wrapText="1"/>
    </xf>
  </cellXfs>
  <cellStyles count="5">
    <cellStyle name="Normal" xfId="0" builtinId="0"/>
    <cellStyle name="Normal 2" xfId="1"/>
    <cellStyle name="Normal 3" xfId="2"/>
    <cellStyle name="Título 1 1" xfId="3"/>
    <cellStyle name="Título 5" xfId="4"/>
  </cellStyles>
  <dxfs count="2">
    <dxf>
      <fill>
        <patternFill>
          <bgColor indexed="11"/>
        </patternFill>
      </fill>
    </dxf>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1533525</xdr:colOff>
      <xdr:row>28</xdr:row>
      <xdr:rowOff>114300</xdr:rowOff>
    </xdr:from>
    <xdr:to>
      <xdr:col>3</xdr:col>
      <xdr:colOff>76200</xdr:colOff>
      <xdr:row>31</xdr:row>
      <xdr:rowOff>0</xdr:rowOff>
    </xdr:to>
    <xdr:pic>
      <xdr:nvPicPr>
        <xdr:cNvPr id="2" name="Picture 3">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33525" y="8601075"/>
          <a:ext cx="29527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552450</xdr:colOff>
      <xdr:row>20</xdr:row>
      <xdr:rowOff>28575</xdr:rowOff>
    </xdr:from>
    <xdr:to>
      <xdr:col>14</xdr:col>
      <xdr:colOff>114300</xdr:colOff>
      <xdr:row>21</xdr:row>
      <xdr:rowOff>247650</xdr:rowOff>
    </xdr:to>
    <xdr:sp macro="" textlink="">
      <xdr:nvSpPr>
        <xdr:cNvPr id="3" name="AutoShape 23">
          <a:extLst>
            <a:ext uri="{FF2B5EF4-FFF2-40B4-BE49-F238E27FC236}">
              <a16:creationId xmlns:a16="http://schemas.microsoft.com/office/drawing/2014/main" xmlns="" id="{00000000-0008-0000-0200-000003000000}"/>
            </a:ext>
          </a:extLst>
        </xdr:cNvPr>
        <xdr:cNvSpPr>
          <a:spLocks noChangeArrowheads="1"/>
        </xdr:cNvSpPr>
      </xdr:nvSpPr>
      <xdr:spPr bwMode="auto">
        <a:xfrm>
          <a:off x="7219950" y="5934075"/>
          <a:ext cx="5162550" cy="419100"/>
        </a:xfrm>
        <a:prstGeom prst="leftArrowCallout">
          <a:avLst>
            <a:gd name="adj1" fmla="val 25000"/>
            <a:gd name="adj2" fmla="val 25000"/>
            <a:gd name="adj3" fmla="val 205303"/>
            <a:gd name="adj4" fmla="val 66667"/>
          </a:avLst>
        </a:prstGeom>
        <a:solidFill>
          <a:srgbClr val="0000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1" i="0" u="none" strike="noStrike" baseline="0">
              <a:solidFill>
                <a:srgbClr val="FF9900"/>
              </a:solidFill>
              <a:latin typeface="Arial"/>
              <a:cs typeface="Arial"/>
            </a:rPr>
            <a:t>OS PERCENTUAIS DE ISS FORAM CALCULADOS CONSIDERANDO QUE A MÃO-DE-OBRA CORRESPONDE A BASE DE CÁLCULO DO PREÇO TOTAL DA OBRA DECLARADO PELO TOMADOR.</a:t>
          </a:r>
        </a:p>
      </xdr:txBody>
    </xdr:sp>
    <xdr:clientData/>
  </xdr:twoCellAnchor>
  <xdr:twoCellAnchor>
    <xdr:from>
      <xdr:col>5</xdr:col>
      <xdr:colOff>85725</xdr:colOff>
      <xdr:row>22</xdr:row>
      <xdr:rowOff>447675</xdr:rowOff>
    </xdr:from>
    <xdr:to>
      <xdr:col>13</xdr:col>
      <xdr:colOff>257175</xdr:colOff>
      <xdr:row>23</xdr:row>
      <xdr:rowOff>161925</xdr:rowOff>
    </xdr:to>
    <xdr:sp macro="" textlink="">
      <xdr:nvSpPr>
        <xdr:cNvPr id="4" name="AutoShape 25">
          <a:extLst>
            <a:ext uri="{FF2B5EF4-FFF2-40B4-BE49-F238E27FC236}">
              <a16:creationId xmlns:a16="http://schemas.microsoft.com/office/drawing/2014/main" xmlns="" id="{00000000-0008-0000-0200-000004000000}"/>
            </a:ext>
          </a:extLst>
        </xdr:cNvPr>
        <xdr:cNvSpPr>
          <a:spLocks noChangeArrowheads="1"/>
        </xdr:cNvSpPr>
      </xdr:nvSpPr>
      <xdr:spPr bwMode="auto">
        <a:xfrm>
          <a:off x="6753225" y="6934200"/>
          <a:ext cx="5162550" cy="323850"/>
        </a:xfrm>
        <a:prstGeom prst="leftArrowCallout">
          <a:avLst>
            <a:gd name="adj1" fmla="val 25000"/>
            <a:gd name="adj2" fmla="val 25000"/>
            <a:gd name="adj3" fmla="val 265686"/>
            <a:gd name="adj4" fmla="val 66667"/>
          </a:avLst>
        </a:prstGeom>
        <a:solidFill>
          <a:srgbClr val="0000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1" i="0" u="none" strike="noStrike" baseline="0">
              <a:solidFill>
                <a:srgbClr val="FF9900"/>
              </a:solidFill>
              <a:latin typeface="Arial"/>
              <a:cs typeface="Arial"/>
            </a:rPr>
            <a:t>O VALOR DO BDI SÓ É CALCULADO APÓS O PREENCHIMENTO DE TODAS AS CÉLULAS EM AMARELO!</a:t>
          </a:r>
        </a:p>
      </xdr:txBody>
    </xdr:sp>
    <xdr:clientData/>
  </xdr:twoCellAnchor>
  <xdr:twoCellAnchor>
    <xdr:from>
      <xdr:col>0</xdr:col>
      <xdr:colOff>28575</xdr:colOff>
      <xdr:row>0</xdr:row>
      <xdr:rowOff>85725</xdr:rowOff>
    </xdr:from>
    <xdr:to>
      <xdr:col>5</xdr:col>
      <xdr:colOff>9525</xdr:colOff>
      <xdr:row>0</xdr:row>
      <xdr:rowOff>666750</xdr:rowOff>
    </xdr:to>
    <xdr:sp macro="" textlink="">
      <xdr:nvSpPr>
        <xdr:cNvPr id="5" name="AutoShape 27">
          <a:extLst>
            <a:ext uri="{FF2B5EF4-FFF2-40B4-BE49-F238E27FC236}">
              <a16:creationId xmlns:a16="http://schemas.microsoft.com/office/drawing/2014/main" xmlns="" id="{00000000-0008-0000-0200-000005000000}"/>
            </a:ext>
          </a:extLst>
        </xdr:cNvPr>
        <xdr:cNvSpPr>
          <a:spLocks noChangeArrowheads="1"/>
        </xdr:cNvSpPr>
      </xdr:nvSpPr>
      <xdr:spPr bwMode="auto">
        <a:xfrm>
          <a:off x="28575" y="85725"/>
          <a:ext cx="6648450" cy="581025"/>
        </a:xfrm>
        <a:prstGeom prst="roundRect">
          <a:avLst>
            <a:gd name="adj" fmla="val 16667"/>
          </a:avLst>
        </a:prstGeom>
        <a:solidFill>
          <a:srgbClr val="0000FF"/>
        </a:solidFill>
        <a:ln w="9525">
          <a:solidFill>
            <a:srgbClr val="000000"/>
          </a:solidFill>
          <a:round/>
          <a:headEnd/>
          <a:tailEnd/>
        </a:ln>
      </xdr:spPr>
      <xdr:txBody>
        <a:bodyPr vertOverflow="clip" wrap="square" lIns="36576" tIns="32004" rIns="36576" bIns="0" anchor="t" upright="1"/>
        <a:lstStyle/>
        <a:p>
          <a:pPr algn="ctr" rtl="0">
            <a:defRPr sz="1000"/>
          </a:pPr>
          <a:r>
            <a:rPr lang="en-US" sz="1600" b="0" i="0" u="none" strike="noStrike" baseline="0">
              <a:solidFill>
                <a:srgbClr val="FF9900"/>
              </a:solidFill>
              <a:latin typeface="Arial"/>
              <a:cs typeface="Arial"/>
            </a:rPr>
            <a:t>**********ALTERAR SOMENTE AS CÉLULAS AMARELAS***********</a:t>
          </a:r>
        </a:p>
        <a:p>
          <a:pPr algn="ctr" rtl="0">
            <a:defRPr sz="1000"/>
          </a:pPr>
          <a:r>
            <a:rPr lang="en-US" sz="1600" b="0" i="0" u="none" strike="noStrike" baseline="0">
              <a:solidFill>
                <a:srgbClr val="FF9900"/>
              </a:solidFill>
              <a:latin typeface="Arial"/>
              <a:cs typeface="Arial"/>
            </a:rPr>
            <a:t>(Atentar para as observações nos quadros na lateral direita!)</a:t>
          </a:r>
        </a:p>
      </xdr:txBody>
    </xdr:sp>
    <xdr:clientData/>
  </xdr:twoCellAnchor>
  <xdr:twoCellAnchor>
    <xdr:from>
      <xdr:col>7</xdr:col>
      <xdr:colOff>180975</xdr:colOff>
      <xdr:row>25</xdr:row>
      <xdr:rowOff>180975</xdr:rowOff>
    </xdr:from>
    <xdr:to>
      <xdr:col>13</xdr:col>
      <xdr:colOff>247650</xdr:colOff>
      <xdr:row>28</xdr:row>
      <xdr:rowOff>57150</xdr:rowOff>
    </xdr:to>
    <xdr:sp macro="" textlink="">
      <xdr:nvSpPr>
        <xdr:cNvPr id="6" name="AutoShape 30">
          <a:extLst>
            <a:ext uri="{FF2B5EF4-FFF2-40B4-BE49-F238E27FC236}">
              <a16:creationId xmlns:a16="http://schemas.microsoft.com/office/drawing/2014/main" xmlns="" id="{00000000-0008-0000-0200-000006000000}"/>
            </a:ext>
          </a:extLst>
        </xdr:cNvPr>
        <xdr:cNvSpPr>
          <a:spLocks/>
        </xdr:cNvSpPr>
      </xdr:nvSpPr>
      <xdr:spPr bwMode="auto">
        <a:xfrm>
          <a:off x="8181975" y="8105775"/>
          <a:ext cx="3724275" cy="438150"/>
        </a:xfrm>
        <a:prstGeom prst="borderCallout2">
          <a:avLst>
            <a:gd name="adj1" fmla="val 26088"/>
            <a:gd name="adj2" fmla="val -2046"/>
            <a:gd name="adj3" fmla="val 26088"/>
            <a:gd name="adj4" fmla="val -23019"/>
            <a:gd name="adj5" fmla="val -13042"/>
            <a:gd name="adj6" fmla="val -39898"/>
          </a:avLst>
        </a:prstGeom>
        <a:solidFill>
          <a:srgbClr val="0000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1" i="0" u="none" strike="noStrike" baseline="0">
              <a:solidFill>
                <a:srgbClr val="FF9900"/>
              </a:solidFill>
              <a:latin typeface="Arial"/>
              <a:cs typeface="Arial"/>
            </a:rPr>
            <a:t>SE O BDI CALCULADO ESTIVER NO INTERVALO DE LIMITES DO BDI ESTA CÉLULA INDICARÁ "OK", CASO CONTRÁRIO INDICARÁ "INADEQUADO" E OS COMPONENTES DO BDI DEVEM SER REDISTRIBUÍDOS ATÉ QUE TODAS OS LIMITANTES ACEITOS PELO TCU SEJAM ATENDIDOS!</a:t>
          </a:r>
        </a:p>
      </xdr:txBody>
    </xdr:sp>
    <xdr:clientData/>
  </xdr:twoCellAnchor>
  <xdr:twoCellAnchor>
    <xdr:from>
      <xdr:col>0</xdr:col>
      <xdr:colOff>0</xdr:colOff>
      <xdr:row>47</xdr:row>
      <xdr:rowOff>66675</xdr:rowOff>
    </xdr:from>
    <xdr:to>
      <xdr:col>4</xdr:col>
      <xdr:colOff>1209675</xdr:colOff>
      <xdr:row>49</xdr:row>
      <xdr:rowOff>133350</xdr:rowOff>
    </xdr:to>
    <xdr:sp macro="" textlink="">
      <xdr:nvSpPr>
        <xdr:cNvPr id="7" name="AutoShape 31">
          <a:extLst>
            <a:ext uri="{FF2B5EF4-FFF2-40B4-BE49-F238E27FC236}">
              <a16:creationId xmlns:a16="http://schemas.microsoft.com/office/drawing/2014/main" xmlns="" id="{00000000-0008-0000-0200-000007000000}"/>
            </a:ext>
          </a:extLst>
        </xdr:cNvPr>
        <xdr:cNvSpPr>
          <a:spLocks noChangeArrowheads="1"/>
        </xdr:cNvSpPr>
      </xdr:nvSpPr>
      <xdr:spPr bwMode="auto">
        <a:xfrm>
          <a:off x="0" y="12734925"/>
          <a:ext cx="6648450" cy="552450"/>
        </a:xfrm>
        <a:prstGeom prst="roundRect">
          <a:avLst>
            <a:gd name="adj" fmla="val 16667"/>
          </a:avLst>
        </a:prstGeom>
        <a:solidFill>
          <a:srgbClr val="0000FF"/>
        </a:solidFill>
        <a:ln w="9525">
          <a:solidFill>
            <a:srgbClr val="000000"/>
          </a:solidFill>
          <a:round/>
          <a:headEnd/>
          <a:tailEnd/>
        </a:ln>
      </xdr:spPr>
      <xdr:txBody>
        <a:bodyPr vertOverflow="clip" wrap="square" lIns="27432" tIns="18288" rIns="0" bIns="0" anchor="t" upright="1"/>
        <a:lstStyle/>
        <a:p>
          <a:pPr algn="l" rtl="0">
            <a:defRPr sz="1000"/>
          </a:pPr>
          <a:r>
            <a:rPr lang="en-US" sz="700" b="1" i="0" u="none" strike="noStrike" baseline="0">
              <a:solidFill>
                <a:srgbClr val="FF9900"/>
              </a:solidFill>
              <a:latin typeface="Arial"/>
              <a:cs typeface="Arial"/>
            </a:rPr>
            <a:t>OBS:</a:t>
          </a:r>
        </a:p>
        <a:p>
          <a:pPr algn="l" rtl="0">
            <a:defRPr sz="1000"/>
          </a:pPr>
          <a:r>
            <a:rPr lang="en-US" sz="700" b="1" i="0" u="none" strike="noStrike" baseline="0">
              <a:solidFill>
                <a:srgbClr val="FF9900"/>
              </a:solidFill>
              <a:latin typeface="Arial"/>
              <a:cs typeface="Arial"/>
            </a:rPr>
            <a:t>(*) - PODE HAVER GARANTIA DESDE QUE PREVISTO NO EDITAL DA LICITAÇÃO E NO CONTRATO DE EXECUÇÃO.</a:t>
          </a:r>
        </a:p>
        <a:p>
          <a:pPr algn="l" rtl="0">
            <a:defRPr sz="1000"/>
          </a:pPr>
          <a:r>
            <a:rPr lang="en-US" sz="700" b="1" i="0" u="none" strike="noStrike" baseline="0">
              <a:solidFill>
                <a:srgbClr val="FF9900"/>
              </a:solidFill>
              <a:latin typeface="Arial"/>
              <a:cs typeface="Arial"/>
            </a:rPr>
            <a:t>(**) - PODEM SER ACEITOS OUTROS PERCENTUAIS DE ISS DESDE QUE DEVIDAMENTE EMBASADOS NA LEGISLAÇÃO MUNICIPAL.</a:t>
          </a:r>
        </a:p>
      </xdr:txBody>
    </xdr:sp>
    <xdr:clientData/>
  </xdr:twoCellAnchor>
  <xdr:twoCellAnchor>
    <xdr:from>
      <xdr:col>6</xdr:col>
      <xdr:colOff>276225</xdr:colOff>
      <xdr:row>12</xdr:row>
      <xdr:rowOff>295275</xdr:rowOff>
    </xdr:from>
    <xdr:to>
      <xdr:col>19</xdr:col>
      <xdr:colOff>428625</xdr:colOff>
      <xdr:row>19</xdr:row>
      <xdr:rowOff>152400</xdr:rowOff>
    </xdr:to>
    <xdr:sp macro="" textlink="">
      <xdr:nvSpPr>
        <xdr:cNvPr id="8" name="AutoShape 34">
          <a:extLst>
            <a:ext uri="{FF2B5EF4-FFF2-40B4-BE49-F238E27FC236}">
              <a16:creationId xmlns:a16="http://schemas.microsoft.com/office/drawing/2014/main" xmlns="" id="{00000000-0008-0000-0200-000008000000}"/>
            </a:ext>
          </a:extLst>
        </xdr:cNvPr>
        <xdr:cNvSpPr>
          <a:spLocks/>
        </xdr:cNvSpPr>
      </xdr:nvSpPr>
      <xdr:spPr bwMode="auto">
        <a:xfrm>
          <a:off x="7543800" y="4343400"/>
          <a:ext cx="8201025" cy="1514475"/>
        </a:xfrm>
        <a:prstGeom prst="borderCallout2">
          <a:avLst>
            <a:gd name="adj1" fmla="val 7546"/>
            <a:gd name="adj2" fmla="val -931"/>
            <a:gd name="adj3" fmla="val 7546"/>
            <a:gd name="adj4" fmla="val -4528"/>
            <a:gd name="adj5" fmla="val -52199"/>
            <a:gd name="adj6" fmla="val -8245"/>
          </a:avLst>
        </a:prstGeom>
        <a:solidFill>
          <a:srgbClr val="0000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1" i="0" u="none" strike="noStrike" baseline="0">
              <a:solidFill>
                <a:srgbClr val="FF9900"/>
              </a:solidFill>
              <a:latin typeface="Arial"/>
              <a:cs typeface="Arial"/>
            </a:rPr>
            <a:t>Foi publicada, em 19 de julho de 2013, a Lei n° 12.844/2013 que altera os artigos 7º, 8º, 9º e o Anexo I da Lei n° 12.546/2011 e o artigo 14, da Lei n° 11.774/2008, alterando os setores a serem beneficiados com o regime de desoneração da folha de pagamentos que substitui a contribuição previdenciária patronal de 20%, sobre o total da folha de pagamento pela contribuição previdenciária sobre a receita bruta.</a:t>
          </a:r>
        </a:p>
        <a:p>
          <a:pPr algn="l" rtl="0">
            <a:defRPr sz="1000"/>
          </a:pPr>
          <a:r>
            <a:rPr lang="en-US" sz="600" b="1" i="0" u="none" strike="noStrike" baseline="0">
              <a:solidFill>
                <a:srgbClr val="FF9900"/>
              </a:solidFill>
              <a:latin typeface="Arial"/>
              <a:cs typeface="Arial"/>
            </a:rPr>
            <a:t>Com essa alteração os setores a seguir ficam sujeitos ao recolhimento da contribuição previdenciária à alíquota de 2% sobre o valor da receita bruta.</a:t>
          </a:r>
        </a:p>
        <a:p>
          <a:pPr algn="l" rtl="0">
            <a:defRPr sz="1000"/>
          </a:pPr>
          <a:r>
            <a:rPr lang="en-US" sz="600" b="1" i="0" u="none" strike="noStrike" baseline="0">
              <a:solidFill>
                <a:srgbClr val="FF9900"/>
              </a:solidFill>
              <a:latin typeface="Arial"/>
              <a:cs typeface="Arial"/>
            </a:rPr>
            <a:t>=&gt;Construção Civil, enquadrados nos seguintes grupos da CNAE 2.0: </a:t>
          </a:r>
        </a:p>
        <a:p>
          <a:pPr algn="l" rtl="0">
            <a:defRPr sz="1000"/>
          </a:pPr>
          <a:r>
            <a:rPr lang="en-US" sz="600" b="1" i="0" u="none" strike="noStrike" baseline="0">
              <a:solidFill>
                <a:srgbClr val="FF9900"/>
              </a:solidFill>
              <a:latin typeface="Arial"/>
              <a:cs typeface="Arial"/>
            </a:rPr>
            <a:t>- 412 – Construção de Edifícios;</a:t>
          </a:r>
        </a:p>
        <a:p>
          <a:pPr algn="l" rtl="0">
            <a:defRPr sz="1000"/>
          </a:pPr>
          <a:r>
            <a:rPr lang="en-US" sz="600" b="1" i="0" u="none" strike="noStrike" baseline="0">
              <a:solidFill>
                <a:srgbClr val="FF9900"/>
              </a:solidFill>
              <a:latin typeface="Arial"/>
              <a:cs typeface="Arial"/>
            </a:rPr>
            <a:t>- 432 – Instalações Elétricas, Hidráulicas e Outras Instalações em Construções;</a:t>
          </a:r>
        </a:p>
        <a:p>
          <a:pPr algn="l" rtl="0">
            <a:defRPr sz="1000"/>
          </a:pPr>
          <a:r>
            <a:rPr lang="en-US" sz="600" b="1" i="0" u="none" strike="noStrike" baseline="0">
              <a:solidFill>
                <a:srgbClr val="FF9900"/>
              </a:solidFill>
              <a:latin typeface="Arial"/>
              <a:cs typeface="Arial"/>
            </a:rPr>
            <a:t>- 433 – Obras de Acabamento;</a:t>
          </a:r>
        </a:p>
        <a:p>
          <a:pPr algn="l" rtl="0">
            <a:defRPr sz="1000"/>
          </a:pPr>
          <a:r>
            <a:rPr lang="en-US" sz="600" b="1" i="0" u="none" strike="noStrike" baseline="0">
              <a:solidFill>
                <a:srgbClr val="FF9900"/>
              </a:solidFill>
              <a:latin typeface="Arial"/>
              <a:cs typeface="Arial"/>
            </a:rPr>
            <a:t>- 439 – Outros Serviços Especializados para Construção (4391-6 – Obras de Fundações e 4399-1 – Serviços Especializados para Construção não especificados anteriormente).</a:t>
          </a:r>
        </a:p>
        <a:p>
          <a:pPr algn="l" rtl="0">
            <a:defRPr sz="1000"/>
          </a:pPr>
          <a:r>
            <a:rPr lang="en-US" sz="600" b="1" i="0" u="none" strike="noStrike" baseline="0">
              <a:solidFill>
                <a:srgbClr val="FF9900"/>
              </a:solidFill>
              <a:latin typeface="Arial"/>
              <a:cs typeface="Arial"/>
            </a:rPr>
            <a:t>=&gt;Construção de Obras de Infraestrutura, enquadrados nos seguintes grupos da CNAE 2.0:</a:t>
          </a:r>
        </a:p>
        <a:p>
          <a:pPr algn="l" rtl="0">
            <a:defRPr sz="1000"/>
          </a:pPr>
          <a:r>
            <a:rPr lang="en-US" sz="600" b="1" i="0" u="none" strike="noStrike" baseline="0">
              <a:solidFill>
                <a:srgbClr val="FF9900"/>
              </a:solidFill>
              <a:latin typeface="Arial"/>
              <a:cs typeface="Arial"/>
            </a:rPr>
            <a:t>- 421 – Construção de Rodovias, Ferrovias, Obras Urbanas e Obras-de-Arte Especiais;</a:t>
          </a:r>
        </a:p>
        <a:p>
          <a:pPr algn="l" rtl="0">
            <a:defRPr sz="1000"/>
          </a:pPr>
          <a:r>
            <a:rPr lang="en-US" sz="600" b="1" i="0" u="none" strike="noStrike" baseline="0">
              <a:solidFill>
                <a:srgbClr val="FF9900"/>
              </a:solidFill>
              <a:latin typeface="Arial"/>
              <a:cs typeface="Arial"/>
            </a:rPr>
            <a:t>- 422 – Obras de Infra-Estrutura para Energia Elétrica, Telecomunicações, Água, Esgoto e Transporte Por Dutos;</a:t>
          </a:r>
        </a:p>
        <a:p>
          <a:pPr algn="l" rtl="0">
            <a:defRPr sz="1000"/>
          </a:pPr>
          <a:r>
            <a:rPr lang="en-US" sz="600" b="1" i="0" u="none" strike="noStrike" baseline="0">
              <a:solidFill>
                <a:srgbClr val="FF9900"/>
              </a:solidFill>
              <a:latin typeface="Arial"/>
              <a:cs typeface="Arial"/>
            </a:rPr>
            <a:t>- 429 – Construção de Outras Obras de Infra-Estrutura;</a:t>
          </a:r>
        </a:p>
        <a:p>
          <a:pPr algn="l" rtl="0">
            <a:defRPr sz="1000"/>
          </a:pPr>
          <a:r>
            <a:rPr lang="en-US" sz="600" b="1" i="0" u="none" strike="noStrike" baseline="0">
              <a:solidFill>
                <a:srgbClr val="FF9900"/>
              </a:solidFill>
              <a:latin typeface="Arial"/>
              <a:cs typeface="Arial"/>
            </a:rPr>
            <a:t>- 431 – Demolição e Preparação do Terreno</a:t>
          </a:r>
        </a:p>
      </xdr:txBody>
    </xdr:sp>
    <xdr:clientData/>
  </xdr:twoCellAnchor>
  <xdr:twoCellAnchor>
    <xdr:from>
      <xdr:col>6</xdr:col>
      <xdr:colOff>428625</xdr:colOff>
      <xdr:row>0</xdr:row>
      <xdr:rowOff>123825</xdr:rowOff>
    </xdr:from>
    <xdr:to>
      <xdr:col>20</xdr:col>
      <xdr:colOff>171450</xdr:colOff>
      <xdr:row>12</xdr:row>
      <xdr:rowOff>228600</xdr:rowOff>
    </xdr:to>
    <xdr:sp macro="" textlink="">
      <xdr:nvSpPr>
        <xdr:cNvPr id="9" name="AutoShape 35">
          <a:extLst>
            <a:ext uri="{FF2B5EF4-FFF2-40B4-BE49-F238E27FC236}">
              <a16:creationId xmlns:a16="http://schemas.microsoft.com/office/drawing/2014/main" xmlns="" id="{00000000-0008-0000-0200-000009000000}"/>
            </a:ext>
          </a:extLst>
        </xdr:cNvPr>
        <xdr:cNvSpPr>
          <a:spLocks/>
        </xdr:cNvSpPr>
      </xdr:nvSpPr>
      <xdr:spPr bwMode="auto">
        <a:xfrm>
          <a:off x="7696200" y="123825"/>
          <a:ext cx="8401050" cy="4152900"/>
        </a:xfrm>
        <a:prstGeom prst="borderCallout2">
          <a:avLst>
            <a:gd name="adj1" fmla="val 3380"/>
            <a:gd name="adj2" fmla="val -907"/>
            <a:gd name="adj3" fmla="val 3380"/>
            <a:gd name="adj4" fmla="val -3514"/>
            <a:gd name="adj5" fmla="val 56056"/>
            <a:gd name="adj6" fmla="val -5667"/>
          </a:avLst>
        </a:prstGeom>
        <a:solidFill>
          <a:srgbClr val="0000FF"/>
        </a:solidFill>
        <a:ln w="9525">
          <a:solidFill>
            <a:srgbClr val="000000"/>
          </a:solidFill>
          <a:miter lim="800000"/>
          <a:headEnd/>
          <a:tailEnd/>
        </a:ln>
      </xdr:spPr>
      <xdr:txBody>
        <a:bodyPr vertOverflow="clip" wrap="square" lIns="27432" tIns="18288" rIns="0" bIns="0" anchor="t" upright="1"/>
        <a:lstStyle/>
        <a:p>
          <a:pPr algn="l" rtl="0">
            <a:defRPr sz="1000"/>
          </a:pPr>
          <a:r>
            <a:rPr lang="en-US" sz="600" b="1" i="0" u="none" strike="noStrike" baseline="0">
              <a:solidFill>
                <a:srgbClr val="FF9900"/>
              </a:solidFill>
              <a:latin typeface="Arial"/>
              <a:cs typeface="Arial"/>
            </a:rPr>
            <a:t>=&gt; Para o tipo de obra “</a:t>
          </a:r>
          <a:r>
            <a:rPr lang="en-US" sz="600" b="1" i="0" u="sng" strike="noStrike" baseline="0">
              <a:solidFill>
                <a:srgbClr val="FF9900"/>
              </a:solidFill>
              <a:latin typeface="Arial"/>
              <a:cs typeface="Arial"/>
            </a:rPr>
            <a:t>Construção de Edifícios</a:t>
          </a:r>
          <a:r>
            <a:rPr lang="en-US" sz="600" b="1" i="0" u="none" strike="noStrike" baseline="0">
              <a:solidFill>
                <a:srgbClr val="FF9900"/>
              </a:solidFill>
              <a:latin typeface="Arial"/>
              <a:cs typeface="Arial"/>
            </a:rPr>
            <a:t>” enquadram-se: a construção e reforma de: edifícios, unidades habitacionais, escolas, hospitais, hotéis, restaurantes, armazéns e depósitos, edifícios para uso agropecuário, estações para trens e metropolitanos, estádios esportivos e quadras cobertas, instalações para embarque e desembarque de passageiros (em aeroportos, rodoviárias, portos, etc.), penitenciárias e presídios, a construção de edifícios industriais (fábricas, oficinas, galpões industriais, etc.), conforme classificação 4120-4 do CNAE 2.0. Também enquadram-se pórticos, mirantes e outros edifícios de finalidade turística.</a:t>
          </a:r>
        </a:p>
        <a:p>
          <a:pPr algn="l" rtl="0">
            <a:defRPr sz="1000"/>
          </a:pPr>
          <a:endParaRPr lang="en-US" sz="600" b="1" i="0" u="none" strike="noStrike" baseline="0">
            <a:solidFill>
              <a:srgbClr val="FF9900"/>
            </a:solidFill>
            <a:latin typeface="Arial"/>
            <a:cs typeface="Arial"/>
          </a:endParaRPr>
        </a:p>
        <a:p>
          <a:pPr algn="l" rtl="0">
            <a:defRPr sz="1000"/>
          </a:pPr>
          <a:r>
            <a:rPr lang="en-US" sz="600" b="1" i="0" u="none" strike="noStrike" baseline="0">
              <a:solidFill>
                <a:srgbClr val="FF9900"/>
              </a:solidFill>
              <a:latin typeface="Arial"/>
              <a:cs typeface="Arial"/>
            </a:rPr>
            <a:t>=&gt; Para o tipo de obra “</a:t>
          </a:r>
          <a:r>
            <a:rPr lang="en-US" sz="600" b="1" i="0" u="sng" strike="noStrike" baseline="0">
              <a:solidFill>
                <a:srgbClr val="FF9900"/>
              </a:solidFill>
              <a:latin typeface="Arial"/>
              <a:cs typeface="Arial"/>
            </a:rPr>
            <a:t>Construção de Rodovias e Ferrovias</a:t>
          </a:r>
          <a:r>
            <a:rPr lang="en-US" sz="600" b="1" i="0" u="none" strike="noStrike" baseline="0">
              <a:solidFill>
                <a:srgbClr val="FF9900"/>
              </a:solidFill>
              <a:latin typeface="Arial"/>
              <a:cs typeface="Arial"/>
            </a:rPr>
            <a:t>” enquadram-se: a construção e recuperação de: auto-estradas, rodovias e outras vias não-urbanas para passagem de veículos, vias férreas de superfície ou subterrâneas (inclusive para metropolitanos), pistas de aeroportos. Esta classe compreende também: a pavimentação de auto-estradas, rodovias e outras vias não-urbanas; construção de pontes, viadutos e túneis; a instalação de barreiras acústicas; a construção de praças de pedágio; a sinalização com pintura em rodovias e aeroportos; a instalação de placas de sinalização de tráfego e semelhantes, conforme classificação 4211-1 do CNAE 2.0. Também enquadram-se a construção, pavimentação e sinalização de vias urbanas, ruas e locais para estacionamento de veículos; a construção de praças e calçadas para pedestres; elevados, passarelas e ciclovias; metrô e VLT.</a:t>
          </a:r>
        </a:p>
        <a:p>
          <a:pPr algn="l" rtl="0">
            <a:defRPr sz="1000"/>
          </a:pPr>
          <a:endParaRPr lang="en-US" sz="600" b="1" i="0" u="none" strike="noStrike" baseline="0">
            <a:solidFill>
              <a:srgbClr val="FF9900"/>
            </a:solidFill>
            <a:latin typeface="Arial"/>
            <a:cs typeface="Arial"/>
          </a:endParaRPr>
        </a:p>
        <a:p>
          <a:pPr algn="l" rtl="0">
            <a:defRPr sz="1000"/>
          </a:pPr>
          <a:r>
            <a:rPr lang="en-US" sz="600" b="1" i="0" u="none" strike="noStrike" baseline="0">
              <a:solidFill>
                <a:srgbClr val="FF9900"/>
              </a:solidFill>
              <a:latin typeface="Arial"/>
              <a:cs typeface="Arial"/>
            </a:rPr>
            <a:t>=&gt; Para o tipo de obra “</a:t>
          </a:r>
          <a:r>
            <a:rPr lang="en-US" sz="600" b="1" i="0" u="sng" strike="noStrike" baseline="0">
              <a:solidFill>
                <a:srgbClr val="FF9900"/>
              </a:solidFill>
              <a:latin typeface="Arial"/>
              <a:cs typeface="Arial"/>
            </a:rPr>
            <a:t>Construção de Redes de Abastecimento de Água, Coleta de Esgoto e Construções Correlatas</a:t>
          </a:r>
          <a:r>
            <a:rPr lang="en-US" sz="600" b="1" i="0" u="none" strike="noStrike" baseline="0">
              <a:solidFill>
                <a:srgbClr val="FF9900"/>
              </a:solidFill>
              <a:latin typeface="Arial"/>
              <a:cs typeface="Arial"/>
            </a:rPr>
            <a:t>” enquadram-se: a construção de sistemas para o abastecimento de água tratada: reservatórios de distribuição, estações elevatórias de bombeamento, linhas principais de adução de longa e média distância e redes de distribuição de água; a construção de redes de coleta de esgoto, inclusive de interceptores, estações de tratamento de esgoto (ETE), estações de bombeamento de esgoto (EBE); a construção de galerias pluviais (obras de micro e macro drenagem). Esta classe compreende também: as obras de irrigação (canais); a manutenção de redes de abastecimento de água tratada; a manutenção de redes de coleta e de sistemas de tratamento de esgoto, conforme classificação 4222-7 do CNAE 2.0. Enquadra-se ainda a construção de estações de tratamento de água (ETA).</a:t>
          </a:r>
        </a:p>
        <a:p>
          <a:pPr algn="l" rtl="0">
            <a:defRPr sz="1000"/>
          </a:pPr>
          <a:endParaRPr lang="en-US" sz="600" b="1" i="0" u="none" strike="noStrike" baseline="0">
            <a:solidFill>
              <a:srgbClr val="FF9900"/>
            </a:solidFill>
            <a:latin typeface="Arial"/>
            <a:cs typeface="Arial"/>
          </a:endParaRPr>
        </a:p>
        <a:p>
          <a:pPr algn="l" rtl="0">
            <a:defRPr sz="1000"/>
          </a:pPr>
          <a:r>
            <a:rPr lang="en-US" sz="600" b="1" i="0" u="none" strike="noStrike" baseline="0">
              <a:solidFill>
                <a:srgbClr val="FF9900"/>
              </a:solidFill>
              <a:latin typeface="Arial"/>
              <a:cs typeface="Arial"/>
            </a:rPr>
            <a:t>=&gt; Para o tipo de obra “</a:t>
          </a:r>
          <a:r>
            <a:rPr lang="en-US" sz="600" b="1" i="0" u="sng" strike="noStrike" baseline="0">
              <a:solidFill>
                <a:srgbClr val="FF9900"/>
              </a:solidFill>
              <a:latin typeface="Arial"/>
              <a:cs typeface="Arial"/>
            </a:rPr>
            <a:t>Construção e Manutenção de Estações e Redes de Distribuição de Energia Elétrica</a:t>
          </a:r>
          <a:r>
            <a:rPr lang="en-US" sz="600" b="1" i="0" u="none" strike="noStrike" baseline="0">
              <a:solidFill>
                <a:srgbClr val="FF9900"/>
              </a:solidFill>
              <a:latin typeface="Arial"/>
              <a:cs typeface="Arial"/>
            </a:rPr>
            <a:t>” enquadram-se: a construção de usinas, estações e subestações hidrelétricas, eólicas, nucleares, termoelétricas; a construção de redes de transmissão e distribuição de energia elétrica, inclusive o serviço de eletrificação rural. Esta subclasse compreende também: a construção de redes de eletrificação para ferrovias e metropolitano, conforme classificação 4221-9/02 do CNAE 2.0. Compreende ainda: a manutenção de redes de distribuição de energia elétrica, quando executada por empresa não-produtora ou distribuidora de energia elétrica, conforme classificação 4221-9/03 do CNAE 2.0. Enquadram-se também obras de iluminação pública e a construção de barragens e represas para geração de energia elétrica.</a:t>
          </a:r>
        </a:p>
        <a:p>
          <a:pPr algn="l" rtl="0">
            <a:defRPr sz="1000"/>
          </a:pPr>
          <a:endParaRPr lang="en-US" sz="600" b="1" i="0" u="none" strike="noStrike" baseline="0">
            <a:solidFill>
              <a:srgbClr val="FF9900"/>
            </a:solidFill>
            <a:latin typeface="Arial"/>
            <a:cs typeface="Arial"/>
          </a:endParaRPr>
        </a:p>
        <a:p>
          <a:pPr algn="l" rtl="0">
            <a:defRPr sz="1000"/>
          </a:pPr>
          <a:r>
            <a:rPr lang="en-US" sz="600" b="1" i="0" u="none" strike="noStrike" baseline="0">
              <a:solidFill>
                <a:srgbClr val="FF9900"/>
              </a:solidFill>
              <a:latin typeface="Arial"/>
              <a:cs typeface="Arial"/>
            </a:rPr>
            <a:t>=&gt; Para o tipo de obra “</a:t>
          </a:r>
          <a:r>
            <a:rPr lang="en-US" sz="600" b="1" i="0" u="sng" strike="noStrike" baseline="0">
              <a:solidFill>
                <a:srgbClr val="FF9900"/>
              </a:solidFill>
              <a:latin typeface="Arial"/>
              <a:cs typeface="Arial"/>
            </a:rPr>
            <a:t>Portuárias, Marítimas e Fluviais</a:t>
          </a:r>
          <a:r>
            <a:rPr lang="en-US" sz="600" b="1" i="0" u="none" strike="noStrike" baseline="0">
              <a:solidFill>
                <a:srgbClr val="FF9900"/>
              </a:solidFill>
              <a:latin typeface="Arial"/>
              <a:cs typeface="Arial"/>
            </a:rPr>
            <a:t>” enquadram-se: as obras marítimas e fluviais, tais como, construção de instalações portuárias; construção de portos e marinas; construção de eclusas e canais de navegação (vias navegáveis); enrocamentos; obras de dragagem; aterro hidráulico; barragens, represas e diques, exceto para energia elétrica; a construção de emissários submarinos; a instalação de cabos submarinos, conforme classificação 4291-0 do CNAE 2.0. Enquadram-se também a construção de piers e outras obras com influência direta de cursos d’água.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227;o\Documents\Backup%20Jo&#227;o\Meus%20Documentos%20Jo&#227;o\OBRAS\Or&#231;amento%20Fundo\BDI\Detalhamento%20do%20B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I sem justificativa"/>
      <sheetName val="Base dados - TCU 2622_2013"/>
    </sheetNames>
    <sheetDataSet>
      <sheetData sheetId="0"/>
      <sheetData sheetId="1">
        <row r="7">
          <cell r="A7" t="str">
            <v>Construção de Edifícios e Reformas (Quadras, unidades habitacionais, escolas, restaurantes, etc)</v>
          </cell>
          <cell r="B7">
            <v>3</v>
          </cell>
          <cell r="C7">
            <v>4</v>
          </cell>
          <cell r="D7">
            <v>5.5</v>
          </cell>
          <cell r="E7">
            <v>0.8</v>
          </cell>
          <cell r="F7">
            <v>0.8</v>
          </cell>
          <cell r="G7">
            <v>1</v>
          </cell>
          <cell r="H7">
            <v>0.97</v>
          </cell>
          <cell r="I7">
            <v>1.27</v>
          </cell>
          <cell r="J7">
            <v>1.27</v>
          </cell>
          <cell r="K7">
            <v>0.59</v>
          </cell>
          <cell r="L7">
            <v>1.23</v>
          </cell>
          <cell r="M7">
            <v>1.39</v>
          </cell>
          <cell r="N7">
            <v>6.16</v>
          </cell>
          <cell r="O7">
            <v>7.4</v>
          </cell>
          <cell r="P7">
            <v>8.9600000000000009</v>
          </cell>
          <cell r="Q7">
            <v>3</v>
          </cell>
          <cell r="R7">
            <v>0.65</v>
          </cell>
          <cell r="S7">
            <v>2</v>
          </cell>
          <cell r="T7">
            <v>3.5</v>
          </cell>
          <cell r="U7">
            <v>5</v>
          </cell>
          <cell r="V7">
            <v>2</v>
          </cell>
          <cell r="W7">
            <v>20.34</v>
          </cell>
          <cell r="X7">
            <v>22.12</v>
          </cell>
          <cell r="Y7">
            <v>25</v>
          </cell>
        </row>
        <row r="8">
          <cell r="A8" t="str">
            <v>Construção de Praças</v>
          </cell>
          <cell r="B8">
            <v>3.8</v>
          </cell>
          <cell r="C8">
            <v>4.01</v>
          </cell>
          <cell r="D8">
            <v>4.67</v>
          </cell>
          <cell r="E8">
            <v>0.32</v>
          </cell>
          <cell r="F8">
            <v>0.4</v>
          </cell>
          <cell r="G8">
            <v>0.74</v>
          </cell>
          <cell r="H8">
            <v>0.5</v>
          </cell>
          <cell r="I8">
            <v>0.56000000000000005</v>
          </cell>
          <cell r="J8">
            <v>0.97</v>
          </cell>
          <cell r="K8">
            <v>1.02</v>
          </cell>
          <cell r="L8">
            <v>1.1100000000000001</v>
          </cell>
          <cell r="M8">
            <v>1.21</v>
          </cell>
          <cell r="N8">
            <v>6.64</v>
          </cell>
          <cell r="O8">
            <v>7.3</v>
          </cell>
          <cell r="P8">
            <v>8.69</v>
          </cell>
          <cell r="Q8">
            <v>3</v>
          </cell>
          <cell r="R8">
            <v>0.65</v>
          </cell>
          <cell r="S8">
            <v>2</v>
          </cell>
          <cell r="T8">
            <v>3.5</v>
          </cell>
          <cell r="U8">
            <v>5</v>
          </cell>
          <cell r="V8">
            <v>2</v>
          </cell>
          <cell r="W8">
            <v>19.600000000000001</v>
          </cell>
          <cell r="X8">
            <v>20.97</v>
          </cell>
          <cell r="Y8">
            <v>24.23</v>
          </cell>
        </row>
        <row r="9">
          <cell r="A9" t="str">
            <v>Construção de Rodovias (Pavimentação Urbana)</v>
          </cell>
          <cell r="B9">
            <v>3.8</v>
          </cell>
          <cell r="C9">
            <v>4.01</v>
          </cell>
          <cell r="D9">
            <v>4.67</v>
          </cell>
          <cell r="E9">
            <v>0.32</v>
          </cell>
          <cell r="F9">
            <v>0.4</v>
          </cell>
          <cell r="G9">
            <v>0.74</v>
          </cell>
          <cell r="H9">
            <v>0.5</v>
          </cell>
          <cell r="I9">
            <v>0.56000000000000005</v>
          </cell>
          <cell r="J9">
            <v>0.97</v>
          </cell>
          <cell r="K9">
            <v>1.02</v>
          </cell>
          <cell r="L9">
            <v>1.1100000000000001</v>
          </cell>
          <cell r="M9">
            <v>1.21</v>
          </cell>
          <cell r="N9">
            <v>6.64</v>
          </cell>
          <cell r="O9">
            <v>7.3</v>
          </cell>
          <cell r="P9">
            <v>8.69</v>
          </cell>
          <cell r="Q9">
            <v>3</v>
          </cell>
          <cell r="R9">
            <v>0.65</v>
          </cell>
          <cell r="S9">
            <v>2</v>
          </cell>
          <cell r="T9">
            <v>3.5</v>
          </cell>
          <cell r="U9">
            <v>5</v>
          </cell>
          <cell r="V9">
            <v>2</v>
          </cell>
          <cell r="W9">
            <v>19.600000000000001</v>
          </cell>
          <cell r="X9">
            <v>20.97</v>
          </cell>
          <cell r="Y9">
            <v>24.23</v>
          </cell>
        </row>
        <row r="10">
          <cell r="A10" t="str">
            <v>Construção de Ferrovias</v>
          </cell>
          <cell r="B10">
            <v>3.8</v>
          </cell>
          <cell r="C10">
            <v>4.01</v>
          </cell>
          <cell r="D10">
            <v>4.67</v>
          </cell>
          <cell r="E10">
            <v>0.32</v>
          </cell>
          <cell r="F10">
            <v>0.4</v>
          </cell>
          <cell r="G10">
            <v>0.74</v>
          </cell>
          <cell r="H10">
            <v>0.5</v>
          </cell>
          <cell r="I10">
            <v>0.56000000000000005</v>
          </cell>
          <cell r="J10">
            <v>0.97</v>
          </cell>
          <cell r="K10">
            <v>1.02</v>
          </cell>
          <cell r="L10">
            <v>1.1100000000000001</v>
          </cell>
          <cell r="M10">
            <v>1.21</v>
          </cell>
          <cell r="N10">
            <v>6.64</v>
          </cell>
          <cell r="O10">
            <v>7.3</v>
          </cell>
          <cell r="P10">
            <v>8.69</v>
          </cell>
          <cell r="Q10">
            <v>3</v>
          </cell>
          <cell r="R10">
            <v>0.65</v>
          </cell>
          <cell r="S10">
            <v>2</v>
          </cell>
          <cell r="T10">
            <v>3.5</v>
          </cell>
          <cell r="U10">
            <v>5</v>
          </cell>
          <cell r="V10">
            <v>2</v>
          </cell>
          <cell r="W10">
            <v>19.600000000000001</v>
          </cell>
          <cell r="X10">
            <v>20.97</v>
          </cell>
          <cell r="Y10">
            <v>24.23</v>
          </cell>
        </row>
        <row r="11">
          <cell r="A11" t="str">
            <v>Construção de Redes de Abastecimento de Água, Coleta de Esgoto e Construções Correlatas</v>
          </cell>
          <cell r="B11">
            <v>3.43</v>
          </cell>
          <cell r="C11">
            <v>4.93</v>
          </cell>
          <cell r="D11">
            <v>6.71</v>
          </cell>
          <cell r="E11">
            <v>0.28000000000000003</v>
          </cell>
          <cell r="F11">
            <v>0.49</v>
          </cell>
          <cell r="G11">
            <v>0.75</v>
          </cell>
          <cell r="H11">
            <v>1</v>
          </cell>
          <cell r="I11">
            <v>1.39</v>
          </cell>
          <cell r="J11">
            <v>1.74</v>
          </cell>
          <cell r="K11">
            <v>0.94</v>
          </cell>
          <cell r="L11">
            <v>0.99</v>
          </cell>
          <cell r="M11">
            <v>1.17</v>
          </cell>
          <cell r="N11">
            <v>6.74</v>
          </cell>
          <cell r="O11">
            <v>8.0399999999999991</v>
          </cell>
          <cell r="P11">
            <v>9.4</v>
          </cell>
          <cell r="Q11">
            <v>3</v>
          </cell>
          <cell r="R11">
            <v>0.65</v>
          </cell>
          <cell r="S11">
            <v>2</v>
          </cell>
          <cell r="T11">
            <v>3.5</v>
          </cell>
          <cell r="U11">
            <v>5</v>
          </cell>
          <cell r="V11">
            <v>2</v>
          </cell>
          <cell r="W11">
            <v>20.76</v>
          </cell>
          <cell r="X11">
            <v>24.18</v>
          </cell>
          <cell r="Y11">
            <v>26.44</v>
          </cell>
        </row>
        <row r="12">
          <cell r="A12" t="str">
            <v>Construção e Manutenção de Estações e Redes de Distribuição de Energia Elétrica</v>
          </cell>
          <cell r="B12">
            <v>5.29</v>
          </cell>
          <cell r="C12">
            <v>5.92</v>
          </cell>
          <cell r="D12">
            <v>7.93</v>
          </cell>
          <cell r="E12">
            <v>0.25</v>
          </cell>
          <cell r="F12">
            <v>0.51</v>
          </cell>
          <cell r="G12">
            <v>0.56000000000000005</v>
          </cell>
          <cell r="H12">
            <v>1</v>
          </cell>
          <cell r="I12">
            <v>1.48</v>
          </cell>
          <cell r="J12">
            <v>1.97</v>
          </cell>
          <cell r="K12">
            <v>1.01</v>
          </cell>
          <cell r="L12">
            <v>1.07</v>
          </cell>
          <cell r="M12">
            <v>1.1100000000000001</v>
          </cell>
          <cell r="N12">
            <v>8</v>
          </cell>
          <cell r="O12">
            <v>8.31</v>
          </cell>
          <cell r="P12">
            <v>9.51</v>
          </cell>
          <cell r="Q12">
            <v>3</v>
          </cell>
          <cell r="R12">
            <v>0.65</v>
          </cell>
          <cell r="S12">
            <v>2</v>
          </cell>
          <cell r="T12">
            <v>3.5</v>
          </cell>
          <cell r="U12">
            <v>5</v>
          </cell>
          <cell r="V12">
            <v>2</v>
          </cell>
          <cell r="W12">
            <v>24</v>
          </cell>
          <cell r="X12">
            <v>25.84</v>
          </cell>
          <cell r="Y12">
            <v>27.86</v>
          </cell>
        </row>
        <row r="13">
          <cell r="A13" t="str">
            <v>Portuárias, Marítimas e Fluviais</v>
          </cell>
          <cell r="B13">
            <v>4</v>
          </cell>
          <cell r="C13">
            <v>5.52</v>
          </cell>
          <cell r="D13">
            <v>7.85</v>
          </cell>
          <cell r="E13">
            <v>0.81</v>
          </cell>
          <cell r="F13">
            <v>1.22</v>
          </cell>
          <cell r="G13">
            <v>1.99</v>
          </cell>
          <cell r="H13">
            <v>1.46</v>
          </cell>
          <cell r="I13">
            <v>2.3199999999999998</v>
          </cell>
          <cell r="J13">
            <v>3.16</v>
          </cell>
          <cell r="K13">
            <v>0.94</v>
          </cell>
          <cell r="L13">
            <v>1.02</v>
          </cell>
          <cell r="M13">
            <v>1.33</v>
          </cell>
          <cell r="N13">
            <v>7.14</v>
          </cell>
          <cell r="O13">
            <v>8.4</v>
          </cell>
          <cell r="P13">
            <v>10.43</v>
          </cell>
          <cell r="Q13">
            <v>3</v>
          </cell>
          <cell r="R13">
            <v>0.65</v>
          </cell>
          <cell r="S13">
            <v>2</v>
          </cell>
          <cell r="T13">
            <v>3.5</v>
          </cell>
          <cell r="U13">
            <v>5</v>
          </cell>
          <cell r="V13">
            <v>2</v>
          </cell>
          <cell r="W13">
            <v>22.8</v>
          </cell>
          <cell r="X13">
            <v>27.48</v>
          </cell>
          <cell r="Y13">
            <v>30.95</v>
          </cell>
        </row>
        <row r="14">
          <cell r="A14" t="str">
            <v>Fornecimento de Materiais e Equipamentos</v>
          </cell>
          <cell r="B14">
            <v>1.5</v>
          </cell>
          <cell r="C14">
            <v>3.45</v>
          </cell>
          <cell r="D14">
            <v>4.49</v>
          </cell>
          <cell r="E14">
            <v>0.3</v>
          </cell>
          <cell r="F14">
            <v>0.48</v>
          </cell>
          <cell r="G14">
            <v>0.82</v>
          </cell>
          <cell r="H14">
            <v>0.56000000000000005</v>
          </cell>
          <cell r="I14">
            <v>0.85</v>
          </cell>
          <cell r="J14">
            <v>0.89</v>
          </cell>
          <cell r="K14">
            <v>0.85</v>
          </cell>
          <cell r="L14">
            <v>0.85</v>
          </cell>
          <cell r="M14">
            <v>1.1100000000000001</v>
          </cell>
          <cell r="N14">
            <v>3.5</v>
          </cell>
          <cell r="O14">
            <v>5.1100000000000003</v>
          </cell>
          <cell r="P14">
            <v>6.22</v>
          </cell>
          <cell r="Q14">
            <v>3</v>
          </cell>
          <cell r="R14">
            <v>0.65</v>
          </cell>
          <cell r="S14">
            <v>2</v>
          </cell>
          <cell r="T14">
            <v>3.5</v>
          </cell>
          <cell r="U14">
            <v>5</v>
          </cell>
          <cell r="V14">
            <v>2</v>
          </cell>
          <cell r="W14">
            <v>11.1</v>
          </cell>
          <cell r="X14">
            <v>14.02</v>
          </cell>
          <cell r="Y14">
            <v>16.8</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data:Setembro/2010" TargetMode="External"/><Relationship Id="rId7" Type="http://schemas.openxmlformats.org/officeDocument/2006/relationships/printerSettings" Target="../printerSettings/printerSettings1.bin"/><Relationship Id="rId2" Type="http://schemas.openxmlformats.org/officeDocument/2006/relationships/hyperlink" Target="data:Setembro/2010" TargetMode="External"/><Relationship Id="rId1" Type="http://schemas.openxmlformats.org/officeDocument/2006/relationships/hyperlink" Target="data:Setembro/2010" TargetMode="External"/><Relationship Id="rId6" Type="http://schemas.openxmlformats.org/officeDocument/2006/relationships/hyperlink" Target="data:Setembro/2010" TargetMode="External"/><Relationship Id="rId5" Type="http://schemas.openxmlformats.org/officeDocument/2006/relationships/hyperlink" Target="data:Setembro/2010" TargetMode="External"/><Relationship Id="rId4" Type="http://schemas.openxmlformats.org/officeDocument/2006/relationships/hyperlink" Target="data:Setembro/201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data:Setembro/201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pageSetUpPr fitToPage="1"/>
  </sheetPr>
  <dimension ref="A1:N268"/>
  <sheetViews>
    <sheetView tabSelected="1" view="pageBreakPreview" zoomScaleNormal="110" zoomScaleSheetLayoutView="100" workbookViewId="0">
      <pane ySplit="15" topLeftCell="A19" activePane="bottomLeft" state="frozen"/>
      <selection pane="bottomLeft" activeCell="B7" sqref="B7"/>
    </sheetView>
  </sheetViews>
  <sheetFormatPr defaultRowHeight="12.75" x14ac:dyDescent="0.2"/>
  <cols>
    <col min="1" max="1" width="14" style="60" bestFit="1" customWidth="1"/>
    <col min="2" max="2" width="7.140625" style="61" customWidth="1"/>
    <col min="3" max="3" width="48.140625" style="61" customWidth="1"/>
    <col min="4" max="4" width="8.28515625" style="61" bestFit="1" customWidth="1"/>
    <col min="5" max="5" width="9.140625" style="60"/>
    <col min="6" max="7" width="9.5703125" style="60" customWidth="1"/>
    <col min="8" max="9" width="10.140625" style="62" bestFit="1" customWidth="1"/>
    <col min="10" max="16384" width="9.140625" style="6"/>
  </cols>
  <sheetData>
    <row r="1" spans="1:14" ht="15" customHeight="1" x14ac:dyDescent="0.2">
      <c r="A1" s="222"/>
      <c r="B1" s="223"/>
      <c r="C1" s="223"/>
      <c r="D1" s="223"/>
      <c r="E1" s="223"/>
      <c r="F1" s="223"/>
      <c r="G1" s="223"/>
      <c r="H1" s="224"/>
      <c r="I1" s="225"/>
    </row>
    <row r="2" spans="1:14" x14ac:dyDescent="0.2">
      <c r="A2" s="226"/>
      <c r="B2" s="137"/>
      <c r="C2" s="137"/>
      <c r="D2" s="137"/>
      <c r="E2" s="137"/>
      <c r="F2" s="137"/>
      <c r="G2" s="137"/>
      <c r="H2" s="317"/>
      <c r="I2" s="318"/>
    </row>
    <row r="3" spans="1:14" x14ac:dyDescent="0.2">
      <c r="A3" s="226"/>
      <c r="B3" s="137"/>
      <c r="C3" s="137"/>
      <c r="D3" s="137"/>
      <c r="E3" s="137"/>
      <c r="F3" s="137"/>
      <c r="G3" s="137"/>
      <c r="H3" s="317"/>
      <c r="I3" s="318"/>
    </row>
    <row r="4" spans="1:14" x14ac:dyDescent="0.2">
      <c r="A4" s="226"/>
      <c r="B4" s="137"/>
      <c r="C4" s="137"/>
      <c r="D4" s="137"/>
      <c r="E4" s="137"/>
      <c r="F4" s="137"/>
      <c r="G4" s="137"/>
      <c r="H4" s="317"/>
      <c r="I4" s="318"/>
    </row>
    <row r="5" spans="1:14" x14ac:dyDescent="0.2">
      <c r="A5" s="226"/>
      <c r="B5" s="137"/>
      <c r="C5" s="137"/>
      <c r="D5" s="137"/>
      <c r="E5" s="137"/>
      <c r="F5" s="137"/>
      <c r="G5" s="137"/>
      <c r="H5" s="317"/>
      <c r="I5" s="318"/>
    </row>
    <row r="6" spans="1:14" x14ac:dyDescent="0.2">
      <c r="A6" s="226"/>
      <c r="B6" s="137"/>
      <c r="C6" s="137"/>
      <c r="D6" s="137"/>
      <c r="E6" s="137"/>
      <c r="F6" s="137"/>
      <c r="G6" s="137"/>
      <c r="H6" s="317"/>
      <c r="I6" s="318"/>
    </row>
    <row r="7" spans="1:14" x14ac:dyDescent="0.2">
      <c r="A7" s="226"/>
      <c r="B7" s="137"/>
      <c r="C7" s="137"/>
      <c r="D7" s="137"/>
      <c r="E7" s="137"/>
      <c r="F7" s="137"/>
      <c r="G7" s="137"/>
      <c r="H7" s="317"/>
      <c r="I7" s="318"/>
    </row>
    <row r="8" spans="1:14" x14ac:dyDescent="0.2">
      <c r="A8" s="226"/>
      <c r="B8" s="137"/>
      <c r="C8" s="137"/>
      <c r="D8" s="137"/>
      <c r="E8" s="137"/>
      <c r="F8" s="137"/>
      <c r="G8" s="137"/>
      <c r="H8" s="317"/>
      <c r="I8" s="318"/>
    </row>
    <row r="9" spans="1:14" x14ac:dyDescent="0.2">
      <c r="A9" s="226"/>
      <c r="B9" s="137"/>
      <c r="C9" s="137"/>
      <c r="D9" s="137"/>
      <c r="E9" s="137"/>
      <c r="F9" s="137"/>
      <c r="G9" s="137"/>
      <c r="H9" s="317"/>
      <c r="I9" s="318"/>
    </row>
    <row r="10" spans="1:14" x14ac:dyDescent="0.2">
      <c r="A10" s="226"/>
      <c r="B10" s="137"/>
      <c r="C10" s="137"/>
      <c r="D10" s="137"/>
      <c r="E10" s="137"/>
      <c r="F10" s="137"/>
      <c r="G10" s="137"/>
      <c r="H10" s="317"/>
      <c r="I10" s="318"/>
    </row>
    <row r="11" spans="1:14" ht="15.75" customHeight="1" x14ac:dyDescent="0.2">
      <c r="A11" s="400" t="s">
        <v>1168</v>
      </c>
      <c r="B11" s="401"/>
      <c r="C11" s="401"/>
      <c r="D11" s="401"/>
      <c r="E11" s="401"/>
      <c r="F11" s="401"/>
      <c r="G11" s="401"/>
      <c r="H11" s="401"/>
      <c r="I11" s="325"/>
    </row>
    <row r="12" spans="1:14" ht="15.75" customHeight="1" x14ac:dyDescent="0.2">
      <c r="A12" s="400" t="s">
        <v>1167</v>
      </c>
      <c r="B12" s="401"/>
      <c r="C12" s="401"/>
      <c r="D12" s="401"/>
      <c r="E12" s="401"/>
      <c r="F12" s="401"/>
      <c r="G12" s="324"/>
      <c r="H12" s="324"/>
      <c r="I12" s="321"/>
    </row>
    <row r="13" spans="1:14" ht="15.75" customHeight="1" x14ac:dyDescent="0.2">
      <c r="A13" s="322"/>
      <c r="B13" s="323"/>
      <c r="C13" s="323"/>
      <c r="D13" s="323"/>
      <c r="E13" s="323"/>
      <c r="F13" s="323"/>
      <c r="G13" s="399" t="s">
        <v>1169</v>
      </c>
      <c r="H13" s="399"/>
      <c r="I13" s="325">
        <v>43983</v>
      </c>
    </row>
    <row r="14" spans="1:14" ht="18.75" thickBot="1" x14ac:dyDescent="0.25">
      <c r="A14" s="405" t="s">
        <v>1165</v>
      </c>
      <c r="B14" s="406"/>
      <c r="C14" s="406"/>
      <c r="D14" s="406"/>
      <c r="E14" s="406"/>
      <c r="F14" s="406"/>
      <c r="G14" s="406"/>
      <c r="H14" s="406"/>
      <c r="I14" s="407"/>
    </row>
    <row r="15" spans="1:14" ht="39.75" thickTop="1" thickBot="1" x14ac:dyDescent="0.25">
      <c r="A15" s="227" t="s">
        <v>316</v>
      </c>
      <c r="B15" s="21" t="s">
        <v>0</v>
      </c>
      <c r="C15" s="21" t="s">
        <v>1</v>
      </c>
      <c r="D15" s="21" t="s">
        <v>317</v>
      </c>
      <c r="E15" s="21" t="s">
        <v>318</v>
      </c>
      <c r="F15" s="21" t="s">
        <v>730</v>
      </c>
      <c r="G15" s="21" t="s">
        <v>731</v>
      </c>
      <c r="H15" s="21" t="s">
        <v>732</v>
      </c>
      <c r="I15" s="228" t="s">
        <v>733</v>
      </c>
      <c r="N15" s="319"/>
    </row>
    <row r="16" spans="1:14" ht="28.5" thickTop="1" x14ac:dyDescent="0.2">
      <c r="A16" s="229"/>
      <c r="B16" s="49" t="s">
        <v>2</v>
      </c>
      <c r="C16" s="50" t="s">
        <v>3</v>
      </c>
      <c r="D16" s="49"/>
      <c r="E16" s="53"/>
      <c r="F16" s="53"/>
      <c r="G16" s="53"/>
      <c r="H16" s="57">
        <f>SUM(H17:H18)</f>
        <v>2460.1800000000003</v>
      </c>
      <c r="I16" s="230">
        <f>SUM(I17:I18)</f>
        <v>3169.17</v>
      </c>
      <c r="K16" s="141"/>
      <c r="N16" s="319"/>
    </row>
    <row r="17" spans="1:9" ht="25.5" thickTop="1" thickBot="1" x14ac:dyDescent="0.25">
      <c r="A17" s="231" t="s">
        <v>1051</v>
      </c>
      <c r="B17" s="9" t="s">
        <v>300</v>
      </c>
      <c r="C17" s="7" t="s">
        <v>265</v>
      </c>
      <c r="D17" s="17" t="s">
        <v>17</v>
      </c>
      <c r="E17" s="23">
        <v>3</v>
      </c>
      <c r="F17" s="23">
        <v>324.74</v>
      </c>
      <c r="G17" s="23">
        <f>ROUND($F17*$D$235,2)</f>
        <v>418.33</v>
      </c>
      <c r="H17" s="32">
        <f>ROUND($E17*$F17,2)</f>
        <v>974.22</v>
      </c>
      <c r="I17" s="232">
        <f>ROUND($E17*$G17,2)</f>
        <v>1254.99</v>
      </c>
    </row>
    <row r="18" spans="1:9" ht="60" x14ac:dyDescent="0.2">
      <c r="A18" s="231" t="s">
        <v>1052</v>
      </c>
      <c r="B18" s="9" t="s">
        <v>301</v>
      </c>
      <c r="C18" s="7" t="s">
        <v>266</v>
      </c>
      <c r="D18" s="17" t="s">
        <v>17</v>
      </c>
      <c r="E18" s="23">
        <v>61</v>
      </c>
      <c r="F18" s="23">
        <v>24.36</v>
      </c>
      <c r="G18" s="23">
        <f>ROUND($F18*$D$235,2)</f>
        <v>31.38</v>
      </c>
      <c r="H18" s="32">
        <f>ROUND($E18*$F18,2)</f>
        <v>1485.96</v>
      </c>
      <c r="I18" s="232">
        <f>ROUND($E18*$G18,2)</f>
        <v>1914.18</v>
      </c>
    </row>
    <row r="19" spans="1:9" x14ac:dyDescent="0.2">
      <c r="A19" s="231"/>
      <c r="B19" s="9"/>
      <c r="C19" s="22"/>
      <c r="D19" s="22"/>
      <c r="E19" s="23"/>
      <c r="F19" s="23"/>
      <c r="G19" s="23"/>
      <c r="H19" s="32"/>
      <c r="I19" s="232"/>
    </row>
    <row r="20" spans="1:9" x14ac:dyDescent="0.2">
      <c r="A20" s="233"/>
      <c r="B20" s="51" t="s">
        <v>4</v>
      </c>
      <c r="C20" s="52" t="s">
        <v>5</v>
      </c>
      <c r="D20" s="51"/>
      <c r="E20" s="54"/>
      <c r="F20" s="54"/>
      <c r="G20" s="54"/>
      <c r="H20" s="58">
        <f>SUM(H21:H38)</f>
        <v>14062.52</v>
      </c>
      <c r="I20" s="234">
        <f>SUM(I21:I38)</f>
        <v>18114.840000000004</v>
      </c>
    </row>
    <row r="21" spans="1:9" ht="24" x14ac:dyDescent="0.2">
      <c r="A21" s="235" t="s">
        <v>1053</v>
      </c>
      <c r="B21" s="9" t="s">
        <v>302</v>
      </c>
      <c r="C21" s="7" t="s">
        <v>32</v>
      </c>
      <c r="D21" s="17" t="s">
        <v>17</v>
      </c>
      <c r="E21" s="23">
        <v>3.29</v>
      </c>
      <c r="F21" s="23">
        <v>21.01</v>
      </c>
      <c r="G21" s="23">
        <f t="shared" ref="G21:G38" si="0">ROUND($F21*$D$235,2)</f>
        <v>27.07</v>
      </c>
      <c r="H21" s="32">
        <f>ROUND($E21*$F21,2)</f>
        <v>69.12</v>
      </c>
      <c r="I21" s="232">
        <f>ROUND($E21*$G21,2)</f>
        <v>89.06</v>
      </c>
    </row>
    <row r="22" spans="1:9" ht="36" x14ac:dyDescent="0.2">
      <c r="A22" s="231" t="s">
        <v>1054</v>
      </c>
      <c r="B22" s="9" t="s">
        <v>319</v>
      </c>
      <c r="C22" s="7" t="s">
        <v>267</v>
      </c>
      <c r="D22" s="17" t="s">
        <v>17</v>
      </c>
      <c r="E22" s="23">
        <v>139.88</v>
      </c>
      <c r="F22" s="23">
        <v>16.8</v>
      </c>
      <c r="G22" s="23">
        <f t="shared" si="0"/>
        <v>21.64</v>
      </c>
      <c r="H22" s="32">
        <f t="shared" ref="H22:H38" si="1">ROUND($E22*$F22,2)</f>
        <v>2349.98</v>
      </c>
      <c r="I22" s="232">
        <f t="shared" ref="I22:I38" si="2">ROUND($E22*$G22,2)</f>
        <v>3027</v>
      </c>
    </row>
    <row r="23" spans="1:9" ht="36" x14ac:dyDescent="0.2">
      <c r="A23" s="231" t="s">
        <v>1055</v>
      </c>
      <c r="B23" s="9" t="s">
        <v>320</v>
      </c>
      <c r="C23" s="7" t="s">
        <v>268</v>
      </c>
      <c r="D23" s="17" t="s">
        <v>17</v>
      </c>
      <c r="E23" s="23">
        <v>104.24</v>
      </c>
      <c r="F23" s="23">
        <v>7</v>
      </c>
      <c r="G23" s="23">
        <f t="shared" si="0"/>
        <v>9.02</v>
      </c>
      <c r="H23" s="32">
        <f t="shared" si="1"/>
        <v>729.68</v>
      </c>
      <c r="I23" s="232">
        <f t="shared" si="2"/>
        <v>940.24</v>
      </c>
    </row>
    <row r="24" spans="1:9" ht="36" x14ac:dyDescent="0.2">
      <c r="A24" s="231" t="s">
        <v>1056</v>
      </c>
      <c r="B24" s="9" t="s">
        <v>321</v>
      </c>
      <c r="C24" s="7" t="s">
        <v>269</v>
      </c>
      <c r="D24" s="17" t="s">
        <v>17</v>
      </c>
      <c r="E24" s="23">
        <v>108.55</v>
      </c>
      <c r="F24" s="23">
        <v>13.67</v>
      </c>
      <c r="G24" s="23">
        <f t="shared" si="0"/>
        <v>17.61</v>
      </c>
      <c r="H24" s="32">
        <f t="shared" si="1"/>
        <v>1483.88</v>
      </c>
      <c r="I24" s="232">
        <f t="shared" si="2"/>
        <v>1911.57</v>
      </c>
    </row>
    <row r="25" spans="1:9" ht="48" x14ac:dyDescent="0.2">
      <c r="A25" s="231" t="s">
        <v>1057</v>
      </c>
      <c r="B25" s="9" t="s">
        <v>322</v>
      </c>
      <c r="C25" s="7" t="s">
        <v>270</v>
      </c>
      <c r="D25" s="17" t="s">
        <v>17</v>
      </c>
      <c r="E25" s="23">
        <v>6.2</v>
      </c>
      <c r="F25" s="23">
        <v>8.5500000000000007</v>
      </c>
      <c r="G25" s="23">
        <f t="shared" si="0"/>
        <v>11.01</v>
      </c>
      <c r="H25" s="32">
        <f t="shared" si="1"/>
        <v>53.01</v>
      </c>
      <c r="I25" s="232">
        <f t="shared" si="2"/>
        <v>68.260000000000005</v>
      </c>
    </row>
    <row r="26" spans="1:9" ht="24" x14ac:dyDescent="0.2">
      <c r="A26" s="231" t="s">
        <v>1058</v>
      </c>
      <c r="B26" s="9" t="s">
        <v>323</v>
      </c>
      <c r="C26" s="7" t="s">
        <v>271</v>
      </c>
      <c r="D26" s="17" t="s">
        <v>38</v>
      </c>
      <c r="E26" s="23">
        <v>9.5500000000000007</v>
      </c>
      <c r="F26" s="23">
        <v>71.73</v>
      </c>
      <c r="G26" s="23">
        <f t="shared" si="0"/>
        <v>92.4</v>
      </c>
      <c r="H26" s="32">
        <f t="shared" si="1"/>
        <v>685.02</v>
      </c>
      <c r="I26" s="232">
        <f t="shared" si="2"/>
        <v>882.42</v>
      </c>
    </row>
    <row r="27" spans="1:9" ht="36" x14ac:dyDescent="0.2">
      <c r="A27" s="231" t="s">
        <v>1059</v>
      </c>
      <c r="B27" s="9" t="s">
        <v>324</v>
      </c>
      <c r="C27" s="7" t="s">
        <v>57</v>
      </c>
      <c r="D27" s="17" t="s">
        <v>58</v>
      </c>
      <c r="E27" s="23">
        <v>444.28</v>
      </c>
      <c r="F27" s="23">
        <v>1.83</v>
      </c>
      <c r="G27" s="23">
        <f t="shared" si="0"/>
        <v>2.36</v>
      </c>
      <c r="H27" s="32">
        <f t="shared" si="1"/>
        <v>813.03</v>
      </c>
      <c r="I27" s="232">
        <f t="shared" si="2"/>
        <v>1048.5</v>
      </c>
    </row>
    <row r="28" spans="1:9" ht="48" x14ac:dyDescent="0.2">
      <c r="A28" s="231" t="s">
        <v>1060</v>
      </c>
      <c r="B28" s="9" t="s">
        <v>325</v>
      </c>
      <c r="C28" s="7" t="s">
        <v>272</v>
      </c>
      <c r="D28" s="17" t="s">
        <v>38</v>
      </c>
      <c r="E28" s="23">
        <v>0.5</v>
      </c>
      <c r="F28" s="23">
        <v>325.42</v>
      </c>
      <c r="G28" s="23">
        <f t="shared" si="0"/>
        <v>419.21</v>
      </c>
      <c r="H28" s="32">
        <f t="shared" si="1"/>
        <v>162.71</v>
      </c>
      <c r="I28" s="232">
        <f t="shared" si="2"/>
        <v>209.61</v>
      </c>
    </row>
    <row r="29" spans="1:9" ht="24" x14ac:dyDescent="0.2">
      <c r="A29" s="231" t="s">
        <v>1061</v>
      </c>
      <c r="B29" s="9" t="s">
        <v>326</v>
      </c>
      <c r="C29" s="7" t="s">
        <v>40</v>
      </c>
      <c r="D29" s="17" t="s">
        <v>17</v>
      </c>
      <c r="E29" s="23">
        <v>347.24</v>
      </c>
      <c r="F29" s="23">
        <v>9.8000000000000007</v>
      </c>
      <c r="G29" s="23">
        <f t="shared" si="0"/>
        <v>12.62</v>
      </c>
      <c r="H29" s="32">
        <f t="shared" si="1"/>
        <v>3402.95</v>
      </c>
      <c r="I29" s="232">
        <f t="shared" si="2"/>
        <v>4382.17</v>
      </c>
    </row>
    <row r="30" spans="1:9" ht="24" x14ac:dyDescent="0.2">
      <c r="A30" s="231" t="s">
        <v>1062</v>
      </c>
      <c r="B30" s="9" t="s">
        <v>327</v>
      </c>
      <c r="C30" s="7" t="s">
        <v>42</v>
      </c>
      <c r="D30" s="17" t="s">
        <v>17</v>
      </c>
      <c r="E30" s="23">
        <v>137.58000000000001</v>
      </c>
      <c r="F30" s="23">
        <v>7</v>
      </c>
      <c r="G30" s="23">
        <f t="shared" si="0"/>
        <v>9.02</v>
      </c>
      <c r="H30" s="32">
        <f t="shared" si="1"/>
        <v>963.06</v>
      </c>
      <c r="I30" s="232">
        <f t="shared" si="2"/>
        <v>1240.97</v>
      </c>
    </row>
    <row r="31" spans="1:9" ht="24" x14ac:dyDescent="0.2">
      <c r="A31" s="231" t="s">
        <v>1063</v>
      </c>
      <c r="B31" s="9" t="s">
        <v>328</v>
      </c>
      <c r="C31" s="7" t="s">
        <v>44</v>
      </c>
      <c r="D31" s="17" t="s">
        <v>45</v>
      </c>
      <c r="E31" s="23">
        <v>121.22</v>
      </c>
      <c r="F31" s="23">
        <v>1.75</v>
      </c>
      <c r="G31" s="23">
        <f t="shared" si="0"/>
        <v>2.25</v>
      </c>
      <c r="H31" s="32">
        <f t="shared" si="1"/>
        <v>212.14</v>
      </c>
      <c r="I31" s="232">
        <f t="shared" si="2"/>
        <v>272.75</v>
      </c>
    </row>
    <row r="32" spans="1:9" x14ac:dyDescent="0.2">
      <c r="A32" s="231" t="s">
        <v>1064</v>
      </c>
      <c r="B32" s="9" t="s">
        <v>329</v>
      </c>
      <c r="C32" s="7" t="s">
        <v>47</v>
      </c>
      <c r="D32" s="17" t="s">
        <v>17</v>
      </c>
      <c r="E32" s="23">
        <v>31</v>
      </c>
      <c r="F32" s="23">
        <v>7.7</v>
      </c>
      <c r="G32" s="23">
        <f t="shared" si="0"/>
        <v>9.92</v>
      </c>
      <c r="H32" s="32">
        <f t="shared" si="1"/>
        <v>238.7</v>
      </c>
      <c r="I32" s="232">
        <f t="shared" si="2"/>
        <v>307.52</v>
      </c>
    </row>
    <row r="33" spans="1:9" ht="24" x14ac:dyDescent="0.2">
      <c r="A33" s="231" t="s">
        <v>1065</v>
      </c>
      <c r="B33" s="9" t="s">
        <v>330</v>
      </c>
      <c r="C33" s="7" t="s">
        <v>273</v>
      </c>
      <c r="D33" s="17" t="s">
        <v>17</v>
      </c>
      <c r="E33" s="23">
        <v>59.31</v>
      </c>
      <c r="F33" s="23">
        <v>11.2</v>
      </c>
      <c r="G33" s="23">
        <f t="shared" si="0"/>
        <v>14.43</v>
      </c>
      <c r="H33" s="32">
        <f t="shared" si="1"/>
        <v>664.27</v>
      </c>
      <c r="I33" s="232">
        <f t="shared" si="2"/>
        <v>855.84</v>
      </c>
    </row>
    <row r="34" spans="1:9" ht="24" x14ac:dyDescent="0.2">
      <c r="A34" s="231" t="s">
        <v>1066</v>
      </c>
      <c r="B34" s="9" t="s">
        <v>331</v>
      </c>
      <c r="C34" s="7" t="s">
        <v>15</v>
      </c>
      <c r="D34" s="17" t="s">
        <v>16</v>
      </c>
      <c r="E34" s="23">
        <v>44</v>
      </c>
      <c r="F34" s="23">
        <v>19.8</v>
      </c>
      <c r="G34" s="23">
        <f t="shared" si="0"/>
        <v>25.51</v>
      </c>
      <c r="H34" s="32">
        <f t="shared" si="1"/>
        <v>871.2</v>
      </c>
      <c r="I34" s="232">
        <f t="shared" si="2"/>
        <v>1122.44</v>
      </c>
    </row>
    <row r="35" spans="1:9" ht="24" x14ac:dyDescent="0.2">
      <c r="A35" s="231">
        <v>97663</v>
      </c>
      <c r="B35" s="9" t="s">
        <v>332</v>
      </c>
      <c r="C35" s="7" t="s">
        <v>192</v>
      </c>
      <c r="D35" s="17" t="s">
        <v>16</v>
      </c>
      <c r="E35" s="23">
        <v>5</v>
      </c>
      <c r="F35" s="23">
        <v>11.28</v>
      </c>
      <c r="G35" s="23">
        <f t="shared" si="0"/>
        <v>14.53</v>
      </c>
      <c r="H35" s="32">
        <f t="shared" si="1"/>
        <v>56.4</v>
      </c>
      <c r="I35" s="232">
        <f t="shared" si="2"/>
        <v>72.650000000000006</v>
      </c>
    </row>
    <row r="36" spans="1:9" x14ac:dyDescent="0.2">
      <c r="A36" s="231" t="s">
        <v>1067</v>
      </c>
      <c r="B36" s="9" t="s">
        <v>333</v>
      </c>
      <c r="C36" s="7" t="s">
        <v>49</v>
      </c>
      <c r="D36" s="17" t="s">
        <v>16</v>
      </c>
      <c r="E36" s="23">
        <v>14</v>
      </c>
      <c r="F36" s="23">
        <v>16.670000000000002</v>
      </c>
      <c r="G36" s="23">
        <f t="shared" si="0"/>
        <v>21.47</v>
      </c>
      <c r="H36" s="32">
        <f t="shared" si="1"/>
        <v>233.38</v>
      </c>
      <c r="I36" s="232">
        <f t="shared" si="2"/>
        <v>300.58</v>
      </c>
    </row>
    <row r="37" spans="1:9" ht="24" x14ac:dyDescent="0.2">
      <c r="A37" s="231" t="s">
        <v>1068</v>
      </c>
      <c r="B37" s="9" t="s">
        <v>334</v>
      </c>
      <c r="C37" s="7" t="s">
        <v>51</v>
      </c>
      <c r="D37" s="17" t="s">
        <v>45</v>
      </c>
      <c r="E37" s="23">
        <v>8.74</v>
      </c>
      <c r="F37" s="23">
        <v>33.340000000000003</v>
      </c>
      <c r="G37" s="23">
        <f t="shared" si="0"/>
        <v>42.95</v>
      </c>
      <c r="H37" s="32">
        <f t="shared" si="1"/>
        <v>291.39</v>
      </c>
      <c r="I37" s="232">
        <f t="shared" si="2"/>
        <v>375.38</v>
      </c>
    </row>
    <row r="38" spans="1:9" ht="24" x14ac:dyDescent="0.2">
      <c r="A38" s="231" t="s">
        <v>1069</v>
      </c>
      <c r="B38" s="9" t="s">
        <v>335</v>
      </c>
      <c r="C38" s="7" t="s">
        <v>173</v>
      </c>
      <c r="D38" s="17" t="s">
        <v>17</v>
      </c>
      <c r="E38" s="23">
        <v>55.9</v>
      </c>
      <c r="F38" s="23">
        <v>14</v>
      </c>
      <c r="G38" s="23">
        <f t="shared" si="0"/>
        <v>18.03</v>
      </c>
      <c r="H38" s="32">
        <f t="shared" si="1"/>
        <v>782.6</v>
      </c>
      <c r="I38" s="232">
        <f t="shared" si="2"/>
        <v>1007.88</v>
      </c>
    </row>
    <row r="39" spans="1:9" x14ac:dyDescent="0.2">
      <c r="A39" s="231"/>
      <c r="B39" s="9"/>
      <c r="C39" s="7"/>
      <c r="D39" s="17"/>
      <c r="E39" s="23"/>
      <c r="F39" s="23"/>
      <c r="G39" s="23"/>
      <c r="H39" s="32"/>
      <c r="I39" s="232"/>
    </row>
    <row r="40" spans="1:9" x14ac:dyDescent="0.2">
      <c r="A40" s="233"/>
      <c r="B40" s="51" t="s">
        <v>6</v>
      </c>
      <c r="C40" s="52" t="s">
        <v>59</v>
      </c>
      <c r="D40" s="51"/>
      <c r="E40" s="54"/>
      <c r="F40" s="54"/>
      <c r="G40" s="54"/>
      <c r="H40" s="58">
        <f>SUM(H41:H47)</f>
        <v>7428.2800000000007</v>
      </c>
      <c r="I40" s="234">
        <f>SUM(I41:I47)</f>
        <v>9558.56</v>
      </c>
    </row>
    <row r="41" spans="1:9" ht="96" x14ac:dyDescent="0.2">
      <c r="A41" s="231" t="s">
        <v>1070</v>
      </c>
      <c r="B41" s="9" t="s">
        <v>303</v>
      </c>
      <c r="C41" s="7" t="s">
        <v>274</v>
      </c>
      <c r="D41" s="17" t="s">
        <v>61</v>
      </c>
      <c r="E41" s="23">
        <v>760.73</v>
      </c>
      <c r="F41" s="23">
        <v>6.06</v>
      </c>
      <c r="G41" s="23">
        <f t="shared" ref="G41:G47" si="3">ROUND($F41*$D$235,2)</f>
        <v>7.81</v>
      </c>
      <c r="H41" s="32">
        <f t="shared" ref="H41:H47" si="4">ROUND($E41*$F41,2)</f>
        <v>4610.0200000000004</v>
      </c>
      <c r="I41" s="232">
        <f t="shared" ref="I41:I47" si="5">ROUND($E41*$G41,2)</f>
        <v>5941.3</v>
      </c>
    </row>
    <row r="42" spans="1:9" ht="48" x14ac:dyDescent="0.2">
      <c r="A42" s="236" t="s">
        <v>1071</v>
      </c>
      <c r="B42" s="327" t="s">
        <v>336</v>
      </c>
      <c r="C42" s="328" t="s">
        <v>275</v>
      </c>
      <c r="D42" s="329" t="s">
        <v>63</v>
      </c>
      <c r="E42" s="330">
        <v>7607.25</v>
      </c>
      <c r="F42" s="330">
        <v>0.11</v>
      </c>
      <c r="G42" s="330">
        <f t="shared" si="3"/>
        <v>0.14000000000000001</v>
      </c>
      <c r="H42" s="331">
        <f t="shared" si="4"/>
        <v>836.8</v>
      </c>
      <c r="I42" s="237">
        <f t="shared" si="5"/>
        <v>1065.02</v>
      </c>
    </row>
    <row r="43" spans="1:9" ht="36" x14ac:dyDescent="0.2">
      <c r="A43" s="231" t="s">
        <v>1072</v>
      </c>
      <c r="B43" s="9" t="s">
        <v>337</v>
      </c>
      <c r="C43" s="7" t="s">
        <v>276</v>
      </c>
      <c r="D43" s="17" t="s">
        <v>17</v>
      </c>
      <c r="E43" s="23">
        <v>152.15</v>
      </c>
      <c r="F43" s="23">
        <v>0.65</v>
      </c>
      <c r="G43" s="23">
        <f t="shared" si="3"/>
        <v>0.84</v>
      </c>
      <c r="H43" s="32">
        <f t="shared" si="4"/>
        <v>98.9</v>
      </c>
      <c r="I43" s="232">
        <f t="shared" si="5"/>
        <v>127.81</v>
      </c>
    </row>
    <row r="44" spans="1:9" ht="48" x14ac:dyDescent="0.2">
      <c r="A44" s="231" t="s">
        <v>1073</v>
      </c>
      <c r="B44" s="9" t="s">
        <v>338</v>
      </c>
      <c r="C44" s="7" t="s">
        <v>277</v>
      </c>
      <c r="D44" s="17" t="s">
        <v>17</v>
      </c>
      <c r="E44" s="23">
        <v>24.84</v>
      </c>
      <c r="F44" s="23">
        <v>2.86</v>
      </c>
      <c r="G44" s="23">
        <f t="shared" si="3"/>
        <v>3.68</v>
      </c>
      <c r="H44" s="32">
        <f t="shared" si="4"/>
        <v>71.040000000000006</v>
      </c>
      <c r="I44" s="232">
        <f t="shared" si="5"/>
        <v>91.41</v>
      </c>
    </row>
    <row r="45" spans="1:9" ht="24" x14ac:dyDescent="0.2">
      <c r="A45" s="231" t="s">
        <v>1074</v>
      </c>
      <c r="B45" s="9" t="s">
        <v>339</v>
      </c>
      <c r="C45" s="7" t="s">
        <v>67</v>
      </c>
      <c r="D45" s="17" t="s">
        <v>17</v>
      </c>
      <c r="E45" s="23">
        <v>152.15</v>
      </c>
      <c r="F45" s="23">
        <v>5.6</v>
      </c>
      <c r="G45" s="23">
        <f t="shared" si="3"/>
        <v>7.21</v>
      </c>
      <c r="H45" s="32">
        <f t="shared" si="4"/>
        <v>852.04</v>
      </c>
      <c r="I45" s="232">
        <f t="shared" si="5"/>
        <v>1097</v>
      </c>
    </row>
    <row r="46" spans="1:9" ht="36" x14ac:dyDescent="0.2">
      <c r="A46" s="231" t="s">
        <v>1075</v>
      </c>
      <c r="B46" s="9" t="s">
        <v>340</v>
      </c>
      <c r="C46" s="7" t="s">
        <v>237</v>
      </c>
      <c r="D46" s="17" t="s">
        <v>238</v>
      </c>
      <c r="E46" s="23">
        <v>2</v>
      </c>
      <c r="F46" s="23">
        <v>319.88</v>
      </c>
      <c r="G46" s="23">
        <f t="shared" si="3"/>
        <v>412.07</v>
      </c>
      <c r="H46" s="32">
        <f t="shared" si="4"/>
        <v>639.76</v>
      </c>
      <c r="I46" s="232">
        <f t="shared" si="5"/>
        <v>824.14</v>
      </c>
    </row>
    <row r="47" spans="1:9" ht="24" x14ac:dyDescent="0.2">
      <c r="A47" s="231" t="s">
        <v>1076</v>
      </c>
      <c r="B47" s="9" t="s">
        <v>341</v>
      </c>
      <c r="C47" s="7" t="s">
        <v>69</v>
      </c>
      <c r="D47" s="17" t="s">
        <v>16</v>
      </c>
      <c r="E47" s="23">
        <v>4</v>
      </c>
      <c r="F47" s="23">
        <v>79.930000000000007</v>
      </c>
      <c r="G47" s="23">
        <f t="shared" si="3"/>
        <v>102.97</v>
      </c>
      <c r="H47" s="32">
        <f t="shared" si="4"/>
        <v>319.72000000000003</v>
      </c>
      <c r="I47" s="232">
        <f t="shared" si="5"/>
        <v>411.88</v>
      </c>
    </row>
    <row r="48" spans="1:9" x14ac:dyDescent="0.2">
      <c r="A48" s="231"/>
      <c r="B48" s="9"/>
      <c r="C48" s="7"/>
      <c r="D48" s="17"/>
      <c r="E48" s="23"/>
      <c r="F48" s="23"/>
      <c r="G48" s="23"/>
      <c r="H48" s="32"/>
      <c r="I48" s="232"/>
    </row>
    <row r="49" spans="1:9" x14ac:dyDescent="0.2">
      <c r="A49" s="233"/>
      <c r="B49" s="51" t="s">
        <v>8</v>
      </c>
      <c r="C49" s="52" t="s">
        <v>7</v>
      </c>
      <c r="D49" s="51"/>
      <c r="E49" s="54"/>
      <c r="F49" s="54"/>
      <c r="G49" s="54"/>
      <c r="H49" s="58">
        <f>SUM(H50:H52)</f>
        <v>2218.58</v>
      </c>
      <c r="I49" s="234">
        <f>SUM(I50:I52)</f>
        <v>2857.96</v>
      </c>
    </row>
    <row r="50" spans="1:9" ht="36" x14ac:dyDescent="0.2">
      <c r="A50" s="231" t="s">
        <v>1077</v>
      </c>
      <c r="B50" s="9" t="s">
        <v>304</v>
      </c>
      <c r="C50" s="7" t="s">
        <v>278</v>
      </c>
      <c r="D50" s="17" t="s">
        <v>38</v>
      </c>
      <c r="E50" s="23">
        <v>30.89</v>
      </c>
      <c r="F50" s="23">
        <v>16.100000000000001</v>
      </c>
      <c r="G50" s="23">
        <f>ROUND($F50*$D$235,2)</f>
        <v>20.74</v>
      </c>
      <c r="H50" s="32">
        <f>ROUND($E50*$F50,2)</f>
        <v>497.33</v>
      </c>
      <c r="I50" s="232">
        <f>ROUND($E50*$G50,2)</f>
        <v>640.66</v>
      </c>
    </row>
    <row r="51" spans="1:9" ht="36" x14ac:dyDescent="0.2">
      <c r="A51" s="231" t="s">
        <v>1078</v>
      </c>
      <c r="B51" s="9" t="s">
        <v>342</v>
      </c>
      <c r="C51" s="7" t="s">
        <v>54</v>
      </c>
      <c r="D51" s="17" t="s">
        <v>45</v>
      </c>
      <c r="E51" s="23">
        <v>5.85</v>
      </c>
      <c r="F51" s="23">
        <v>117.8</v>
      </c>
      <c r="G51" s="23">
        <f>ROUND($F51*$D$235,2)</f>
        <v>151.75</v>
      </c>
      <c r="H51" s="32">
        <f>ROUND($E51*$F51,2)</f>
        <v>689.13</v>
      </c>
      <c r="I51" s="232">
        <f>ROUND($E51*$G51,2)</f>
        <v>887.74</v>
      </c>
    </row>
    <row r="52" spans="1:9" ht="24" x14ac:dyDescent="0.2">
      <c r="A52" s="231" t="s">
        <v>1079</v>
      </c>
      <c r="B52" s="9" t="s">
        <v>343</v>
      </c>
      <c r="C52" s="7" t="s">
        <v>279</v>
      </c>
      <c r="D52" s="17" t="s">
        <v>16</v>
      </c>
      <c r="E52" s="23">
        <v>4</v>
      </c>
      <c r="F52" s="23">
        <v>258.02999999999997</v>
      </c>
      <c r="G52" s="23">
        <f>ROUND($F52*$D$235,2)</f>
        <v>332.39</v>
      </c>
      <c r="H52" s="32">
        <f>ROUND($E52*$F52,2)</f>
        <v>1032.1199999999999</v>
      </c>
      <c r="I52" s="232">
        <f>ROUND($E52*$G52,2)</f>
        <v>1329.56</v>
      </c>
    </row>
    <row r="53" spans="1:9" x14ac:dyDescent="0.2">
      <c r="A53" s="231"/>
      <c r="B53" s="9"/>
      <c r="C53" s="7"/>
      <c r="D53" s="17"/>
      <c r="E53" s="23"/>
      <c r="F53" s="23"/>
      <c r="G53" s="23"/>
      <c r="H53" s="32"/>
      <c r="I53" s="232"/>
    </row>
    <row r="54" spans="1:9" x14ac:dyDescent="0.2">
      <c r="A54" s="233"/>
      <c r="B54" s="51" t="s">
        <v>9</v>
      </c>
      <c r="C54" s="52" t="s">
        <v>72</v>
      </c>
      <c r="D54" s="51"/>
      <c r="E54" s="54"/>
      <c r="F54" s="54"/>
      <c r="G54" s="54"/>
      <c r="H54" s="58">
        <f>SUM(H55:H57)</f>
        <v>659.38</v>
      </c>
      <c r="I54" s="234">
        <f>SUM(I55:I57)</f>
        <v>849.27</v>
      </c>
    </row>
    <row r="55" spans="1:9" ht="48" x14ac:dyDescent="0.2">
      <c r="A55" s="231" t="s">
        <v>1080</v>
      </c>
      <c r="B55" s="9" t="s">
        <v>305</v>
      </c>
      <c r="C55" s="7" t="s">
        <v>280</v>
      </c>
      <c r="D55" s="17" t="s">
        <v>38</v>
      </c>
      <c r="E55" s="23">
        <v>1.4</v>
      </c>
      <c r="F55" s="23">
        <v>379.97</v>
      </c>
      <c r="G55" s="23">
        <f>ROUND($F55*$D$235,2)</f>
        <v>489.48</v>
      </c>
      <c r="H55" s="32">
        <f>ROUND($E55*$F55,2)</f>
        <v>531.96</v>
      </c>
      <c r="I55" s="232">
        <f>ROUND($E55*$G55,2)</f>
        <v>685.27</v>
      </c>
    </row>
    <row r="56" spans="1:9" ht="60" x14ac:dyDescent="0.2">
      <c r="A56" s="231" t="s">
        <v>1081</v>
      </c>
      <c r="B56" s="9" t="s">
        <v>344</v>
      </c>
      <c r="C56" s="7" t="s">
        <v>240</v>
      </c>
      <c r="D56" s="17" t="s">
        <v>58</v>
      </c>
      <c r="E56" s="23">
        <v>16.7</v>
      </c>
      <c r="F56" s="23">
        <v>3.97</v>
      </c>
      <c r="G56" s="23">
        <f>ROUND($F56*$D$235,2)</f>
        <v>5.1100000000000003</v>
      </c>
      <c r="H56" s="32">
        <f>ROUND($E56*$F56,2)</f>
        <v>66.3</v>
      </c>
      <c r="I56" s="232">
        <f>ROUND($E56*$G56,2)</f>
        <v>85.34</v>
      </c>
    </row>
    <row r="57" spans="1:9" ht="36" x14ac:dyDescent="0.2">
      <c r="A57" s="231" t="s">
        <v>1082</v>
      </c>
      <c r="B57" s="9" t="s">
        <v>345</v>
      </c>
      <c r="C57" s="7" t="s">
        <v>242</v>
      </c>
      <c r="D57" s="17" t="s">
        <v>58</v>
      </c>
      <c r="E57" s="23">
        <v>16.7</v>
      </c>
      <c r="F57" s="23">
        <v>3.66</v>
      </c>
      <c r="G57" s="23">
        <f>ROUND($F57*$D$235,2)</f>
        <v>4.71</v>
      </c>
      <c r="H57" s="32">
        <f>ROUND($E57*$F57,2)</f>
        <v>61.12</v>
      </c>
      <c r="I57" s="232">
        <f>ROUND($E57*$G57,2)</f>
        <v>78.66</v>
      </c>
    </row>
    <row r="58" spans="1:9" x14ac:dyDescent="0.2">
      <c r="A58" s="231"/>
      <c r="B58" s="9"/>
      <c r="C58" s="7"/>
      <c r="D58" s="17"/>
      <c r="E58" s="23"/>
      <c r="F58" s="23"/>
      <c r="G58" s="23"/>
      <c r="H58" s="32"/>
      <c r="I58" s="232"/>
    </row>
    <row r="59" spans="1:9" x14ac:dyDescent="0.2">
      <c r="A59" s="233"/>
      <c r="B59" s="51" t="s">
        <v>78</v>
      </c>
      <c r="C59" s="52" t="s">
        <v>76</v>
      </c>
      <c r="D59" s="51"/>
      <c r="E59" s="54"/>
      <c r="F59" s="54"/>
      <c r="G59" s="54"/>
      <c r="H59" s="58">
        <f>SUM(H60:H62)</f>
        <v>5128.6099999999997</v>
      </c>
      <c r="I59" s="234">
        <f>SUM(I60:I62)</f>
        <v>6606.6799999999994</v>
      </c>
    </row>
    <row r="60" spans="1:9" ht="24" x14ac:dyDescent="0.2">
      <c r="A60" s="238" t="s">
        <v>1083</v>
      </c>
      <c r="B60" s="131" t="s">
        <v>306</v>
      </c>
      <c r="C60" s="132" t="s">
        <v>75</v>
      </c>
      <c r="D60" s="133" t="s">
        <v>38</v>
      </c>
      <c r="E60" s="134">
        <v>2.34</v>
      </c>
      <c r="F60" s="23">
        <v>1457.77</v>
      </c>
      <c r="G60" s="134">
        <f>ROUND($F60*$D$235,2)</f>
        <v>1877.9</v>
      </c>
      <c r="H60" s="135">
        <f>ROUND($E60*$F60,2)</f>
        <v>3411.18</v>
      </c>
      <c r="I60" s="239">
        <f>ROUND($E60*$G60,2)</f>
        <v>4394.29</v>
      </c>
    </row>
    <row r="61" spans="1:9" ht="72" x14ac:dyDescent="0.2">
      <c r="A61" s="238" t="s">
        <v>1084</v>
      </c>
      <c r="B61" s="131" t="s">
        <v>346</v>
      </c>
      <c r="C61" s="132" t="s">
        <v>281</v>
      </c>
      <c r="D61" s="133" t="s">
        <v>38</v>
      </c>
      <c r="E61" s="134">
        <v>0.7</v>
      </c>
      <c r="F61" s="23">
        <v>1886.56</v>
      </c>
      <c r="G61" s="134">
        <f>ROUND($F61*$D$235,2)</f>
        <v>2430.27</v>
      </c>
      <c r="H61" s="135">
        <f>ROUND($E61*$F61,2)</f>
        <v>1320.59</v>
      </c>
      <c r="I61" s="239">
        <f>ROUND($E61*$G61,2)</f>
        <v>1701.19</v>
      </c>
    </row>
    <row r="62" spans="1:9" ht="72" x14ac:dyDescent="0.2">
      <c r="A62" s="238" t="s">
        <v>1085</v>
      </c>
      <c r="B62" s="131" t="s">
        <v>347</v>
      </c>
      <c r="C62" s="132" t="s">
        <v>80</v>
      </c>
      <c r="D62" s="133" t="s">
        <v>17</v>
      </c>
      <c r="E62" s="134">
        <v>6</v>
      </c>
      <c r="F62" s="23">
        <v>66.14</v>
      </c>
      <c r="G62" s="134">
        <f>ROUND($F62*$D$235,2)</f>
        <v>85.2</v>
      </c>
      <c r="H62" s="135">
        <f>ROUND($E62*$F62,2)</f>
        <v>396.84</v>
      </c>
      <c r="I62" s="239">
        <f>ROUND($E62*$G62,2)</f>
        <v>511.2</v>
      </c>
    </row>
    <row r="63" spans="1:9" x14ac:dyDescent="0.2">
      <c r="A63" s="231"/>
      <c r="B63" s="9"/>
      <c r="C63" s="7"/>
      <c r="D63" s="17"/>
      <c r="E63" s="23"/>
      <c r="F63" s="23"/>
      <c r="G63" s="23"/>
      <c r="H63" s="32"/>
      <c r="I63" s="232"/>
    </row>
    <row r="64" spans="1:9" x14ac:dyDescent="0.2">
      <c r="A64" s="233"/>
      <c r="B64" s="51" t="s">
        <v>11</v>
      </c>
      <c r="C64" s="52" t="s">
        <v>81</v>
      </c>
      <c r="D64" s="51"/>
      <c r="E64" s="54"/>
      <c r="F64" s="54"/>
      <c r="G64" s="54"/>
      <c r="H64" s="58">
        <f>SUM(H65:H68)</f>
        <v>10649.3</v>
      </c>
      <c r="I64" s="234">
        <f>SUM(I65:I68)</f>
        <v>13718.37</v>
      </c>
    </row>
    <row r="65" spans="1:14" ht="60" x14ac:dyDescent="0.2">
      <c r="A65" s="231" t="s">
        <v>1086</v>
      </c>
      <c r="B65" s="9" t="s">
        <v>307</v>
      </c>
      <c r="C65" s="7" t="s">
        <v>84</v>
      </c>
      <c r="D65" s="17" t="s">
        <v>17</v>
      </c>
      <c r="E65" s="23">
        <v>36.6</v>
      </c>
      <c r="F65" s="23">
        <v>148.99</v>
      </c>
      <c r="G65" s="23">
        <f>ROUND($F65*$D$235,2)</f>
        <v>191.93</v>
      </c>
      <c r="H65" s="32">
        <f>ROUND($E65*$F65,2)</f>
        <v>5453.03</v>
      </c>
      <c r="I65" s="232">
        <f>ROUND($E65*$G65,2)</f>
        <v>7024.64</v>
      </c>
    </row>
    <row r="66" spans="1:14" ht="48" x14ac:dyDescent="0.2">
      <c r="A66" s="236" t="s">
        <v>1087</v>
      </c>
      <c r="B66" s="327" t="s">
        <v>348</v>
      </c>
      <c r="C66" s="328" t="s">
        <v>83</v>
      </c>
      <c r="D66" s="329" t="s">
        <v>45</v>
      </c>
      <c r="E66" s="330">
        <v>16.82</v>
      </c>
      <c r="F66" s="330">
        <v>43.96</v>
      </c>
      <c r="G66" s="330">
        <f>ROUND($F66*$D$235,2)</f>
        <v>56.63</v>
      </c>
      <c r="H66" s="331">
        <f>ROUND($E66*$F66,2)</f>
        <v>739.41</v>
      </c>
      <c r="I66" s="237">
        <f>ROUND($E66*$G66,2)</f>
        <v>952.52</v>
      </c>
    </row>
    <row r="67" spans="1:14" ht="120" x14ac:dyDescent="0.2">
      <c r="A67" s="231" t="s">
        <v>1088</v>
      </c>
      <c r="B67" s="9" t="s">
        <v>349</v>
      </c>
      <c r="C67" s="7" t="s">
        <v>87</v>
      </c>
      <c r="D67" s="17" t="s">
        <v>17</v>
      </c>
      <c r="E67" s="23">
        <v>34.200000000000003</v>
      </c>
      <c r="F67" s="23">
        <v>53.69</v>
      </c>
      <c r="G67" s="23">
        <f>ROUND($F67*$D$235,2)</f>
        <v>69.16</v>
      </c>
      <c r="H67" s="32">
        <f>ROUND($E67*$F67,2)</f>
        <v>1836.2</v>
      </c>
      <c r="I67" s="232">
        <f>ROUND($E67*$G67,2)</f>
        <v>2365.27</v>
      </c>
    </row>
    <row r="68" spans="1:14" ht="72" x14ac:dyDescent="0.2">
      <c r="A68" s="231" t="s">
        <v>1089</v>
      </c>
      <c r="B68" s="9" t="s">
        <v>705</v>
      </c>
      <c r="C68" s="7" t="s">
        <v>650</v>
      </c>
      <c r="D68" s="17" t="s">
        <v>17</v>
      </c>
      <c r="E68" s="23">
        <v>5.88</v>
      </c>
      <c r="F68" s="23">
        <v>445.69</v>
      </c>
      <c r="G68" s="23">
        <f>ROUND($F68*$D$235,2)</f>
        <v>574.14</v>
      </c>
      <c r="H68" s="32">
        <f>ROUND($E68*$F68,2)</f>
        <v>2620.66</v>
      </c>
      <c r="I68" s="232">
        <f>ROUND($E68*$G68,2)</f>
        <v>3375.94</v>
      </c>
    </row>
    <row r="69" spans="1:14" x14ac:dyDescent="0.2">
      <c r="A69" s="236"/>
      <c r="B69" s="16"/>
      <c r="C69" s="24"/>
      <c r="D69" s="24"/>
      <c r="E69" s="25"/>
      <c r="F69" s="25"/>
      <c r="G69" s="25"/>
      <c r="H69" s="56"/>
      <c r="I69" s="237"/>
    </row>
    <row r="70" spans="1:14" x14ac:dyDescent="0.2">
      <c r="A70" s="233"/>
      <c r="B70" s="51" t="s">
        <v>113</v>
      </c>
      <c r="C70" s="52" t="s">
        <v>106</v>
      </c>
      <c r="D70" s="51"/>
      <c r="E70" s="54"/>
      <c r="F70" s="54"/>
      <c r="G70" s="54"/>
      <c r="H70" s="58">
        <f>SUM(H71:H89)</f>
        <v>49981.440000000002</v>
      </c>
      <c r="I70" s="234">
        <f>SUM(I71:I89)</f>
        <v>64385.840000000018</v>
      </c>
    </row>
    <row r="71" spans="1:14" ht="36" x14ac:dyDescent="0.2">
      <c r="A71" s="231" t="s">
        <v>1090</v>
      </c>
      <c r="B71" s="9" t="s">
        <v>308</v>
      </c>
      <c r="C71" s="7" t="s">
        <v>89</v>
      </c>
      <c r="D71" s="17" t="s">
        <v>17</v>
      </c>
      <c r="E71" s="23">
        <v>235.96</v>
      </c>
      <c r="F71" s="23">
        <v>4.6900000000000004</v>
      </c>
      <c r="G71" s="23">
        <f t="shared" ref="G71:G89" si="6">ROUND($F71*$D$235,2)</f>
        <v>6.04</v>
      </c>
      <c r="H71" s="32">
        <f t="shared" ref="H71:H89" si="7">ROUND($E71*$F71,2)</f>
        <v>1106.6500000000001</v>
      </c>
      <c r="I71" s="232">
        <f t="shared" ref="I71:I89" si="8">ROUND($E71*$G71,2)</f>
        <v>1425.2</v>
      </c>
    </row>
    <row r="72" spans="1:14" ht="36" x14ac:dyDescent="0.2">
      <c r="A72" s="231" t="s">
        <v>1091</v>
      </c>
      <c r="B72" s="9" t="s">
        <v>350</v>
      </c>
      <c r="C72" s="7" t="s">
        <v>282</v>
      </c>
      <c r="D72" s="17" t="s">
        <v>17</v>
      </c>
      <c r="E72" s="23">
        <v>235.96</v>
      </c>
      <c r="F72" s="23">
        <v>19.45</v>
      </c>
      <c r="G72" s="23">
        <f t="shared" si="6"/>
        <v>25.06</v>
      </c>
      <c r="H72" s="32">
        <f t="shared" si="7"/>
        <v>4589.42</v>
      </c>
      <c r="I72" s="232">
        <f t="shared" si="8"/>
        <v>5913.16</v>
      </c>
    </row>
    <row r="73" spans="1:14" ht="48" x14ac:dyDescent="0.2">
      <c r="A73" s="231" t="s">
        <v>1092</v>
      </c>
      <c r="B73" s="9" t="s">
        <v>351</v>
      </c>
      <c r="C73" s="7" t="s">
        <v>283</v>
      </c>
      <c r="D73" s="17" t="s">
        <v>17</v>
      </c>
      <c r="E73" s="23">
        <v>189.31</v>
      </c>
      <c r="F73" s="23">
        <v>15.77</v>
      </c>
      <c r="G73" s="23">
        <f t="shared" si="6"/>
        <v>20.309999999999999</v>
      </c>
      <c r="H73" s="32">
        <f t="shared" si="7"/>
        <v>2985.42</v>
      </c>
      <c r="I73" s="232">
        <f t="shared" si="8"/>
        <v>3844.89</v>
      </c>
    </row>
    <row r="74" spans="1:14" ht="84" x14ac:dyDescent="0.2">
      <c r="A74" s="238" t="s">
        <v>1093</v>
      </c>
      <c r="B74" s="131" t="s">
        <v>352</v>
      </c>
      <c r="C74" s="132" t="s">
        <v>284</v>
      </c>
      <c r="D74" s="133" t="s">
        <v>17</v>
      </c>
      <c r="E74" s="134">
        <v>11.42</v>
      </c>
      <c r="F74" s="23">
        <v>165.51</v>
      </c>
      <c r="G74" s="136">
        <f t="shared" si="6"/>
        <v>213.21</v>
      </c>
      <c r="H74" s="135">
        <f t="shared" si="7"/>
        <v>1890.12</v>
      </c>
      <c r="I74" s="239">
        <f t="shared" si="8"/>
        <v>2434.86</v>
      </c>
    </row>
    <row r="75" spans="1:14" ht="48" x14ac:dyDescent="0.2">
      <c r="A75" s="231" t="s">
        <v>1094</v>
      </c>
      <c r="B75" s="9" t="s">
        <v>353</v>
      </c>
      <c r="C75" s="7" t="s">
        <v>653</v>
      </c>
      <c r="D75" s="17" t="s">
        <v>17</v>
      </c>
      <c r="E75" s="23">
        <v>23.82</v>
      </c>
      <c r="F75" s="23">
        <v>36.270000000000003</v>
      </c>
      <c r="G75" s="23">
        <f t="shared" si="6"/>
        <v>46.72</v>
      </c>
      <c r="H75" s="32">
        <f t="shared" si="7"/>
        <v>863.95</v>
      </c>
      <c r="I75" s="232">
        <f t="shared" si="8"/>
        <v>1112.8699999999999</v>
      </c>
    </row>
    <row r="76" spans="1:14" ht="36" x14ac:dyDescent="0.2">
      <c r="A76" s="231" t="s">
        <v>1095</v>
      </c>
      <c r="B76" s="9" t="s">
        <v>354</v>
      </c>
      <c r="C76" s="7" t="s">
        <v>94</v>
      </c>
      <c r="D76" s="17" t="s">
        <v>17</v>
      </c>
      <c r="E76" s="23">
        <v>32.81</v>
      </c>
      <c r="F76" s="23">
        <v>47</v>
      </c>
      <c r="G76" s="23">
        <f t="shared" si="6"/>
        <v>60.55</v>
      </c>
      <c r="H76" s="32">
        <f t="shared" si="7"/>
        <v>1542.07</v>
      </c>
      <c r="I76" s="232">
        <f t="shared" si="8"/>
        <v>1986.65</v>
      </c>
    </row>
    <row r="77" spans="1:14" ht="84" x14ac:dyDescent="0.2">
      <c r="A77" s="231" t="s">
        <v>1096</v>
      </c>
      <c r="B77" s="9" t="s">
        <v>355</v>
      </c>
      <c r="C77" s="7" t="s">
        <v>1151</v>
      </c>
      <c r="D77" s="17" t="s">
        <v>17</v>
      </c>
      <c r="E77" s="23">
        <v>8.6999999999999993</v>
      </c>
      <c r="F77" s="23">
        <v>55.92</v>
      </c>
      <c r="G77" s="23">
        <f t="shared" si="6"/>
        <v>72.040000000000006</v>
      </c>
      <c r="H77" s="32">
        <f t="shared" si="7"/>
        <v>486.5</v>
      </c>
      <c r="I77" s="232">
        <f t="shared" si="8"/>
        <v>626.75</v>
      </c>
      <c r="M77" s="20"/>
      <c r="N77" s="20"/>
    </row>
    <row r="78" spans="1:14" ht="72" x14ac:dyDescent="0.2">
      <c r="A78" s="231" t="s">
        <v>1097</v>
      </c>
      <c r="B78" s="9" t="s">
        <v>356</v>
      </c>
      <c r="C78" s="7" t="s">
        <v>96</v>
      </c>
      <c r="D78" s="17" t="s">
        <v>17</v>
      </c>
      <c r="E78" s="23">
        <v>65.59</v>
      </c>
      <c r="F78" s="23">
        <v>58.84</v>
      </c>
      <c r="G78" s="23">
        <f t="shared" si="6"/>
        <v>75.8</v>
      </c>
      <c r="H78" s="32">
        <f t="shared" si="7"/>
        <v>3859.32</v>
      </c>
      <c r="I78" s="232">
        <f t="shared" si="8"/>
        <v>4971.72</v>
      </c>
      <c r="M78" s="20"/>
      <c r="N78" s="20"/>
    </row>
    <row r="79" spans="1:14" ht="48" x14ac:dyDescent="0.2">
      <c r="A79" s="231" t="s">
        <v>1098</v>
      </c>
      <c r="B79" s="9" t="s">
        <v>706</v>
      </c>
      <c r="C79" s="7" t="s">
        <v>431</v>
      </c>
      <c r="D79" s="17" t="s">
        <v>17</v>
      </c>
      <c r="E79" s="23">
        <v>102.32</v>
      </c>
      <c r="F79" s="23">
        <v>149.9</v>
      </c>
      <c r="G79" s="23">
        <f t="shared" si="6"/>
        <v>193.1</v>
      </c>
      <c r="H79" s="32">
        <f t="shared" si="7"/>
        <v>15337.77</v>
      </c>
      <c r="I79" s="232">
        <f t="shared" si="8"/>
        <v>19757.990000000002</v>
      </c>
      <c r="M79" s="20"/>
      <c r="N79" s="20"/>
    </row>
    <row r="80" spans="1:14" ht="24" x14ac:dyDescent="0.2">
      <c r="A80" s="231" t="s">
        <v>1099</v>
      </c>
      <c r="B80" s="9" t="s">
        <v>357</v>
      </c>
      <c r="C80" s="7" t="s">
        <v>98</v>
      </c>
      <c r="D80" s="17" t="s">
        <v>45</v>
      </c>
      <c r="E80" s="23">
        <v>43.35</v>
      </c>
      <c r="F80" s="23">
        <v>29.33</v>
      </c>
      <c r="G80" s="23">
        <f t="shared" si="6"/>
        <v>37.78</v>
      </c>
      <c r="H80" s="32">
        <f t="shared" si="7"/>
        <v>1271.46</v>
      </c>
      <c r="I80" s="232">
        <f t="shared" si="8"/>
        <v>1637.76</v>
      </c>
      <c r="M80" s="20"/>
      <c r="N80" s="20"/>
    </row>
    <row r="81" spans="1:13" ht="24" x14ac:dyDescent="0.2">
      <c r="A81" s="231" t="s">
        <v>1100</v>
      </c>
      <c r="B81" s="9" t="s">
        <v>358</v>
      </c>
      <c r="C81" s="7" t="s">
        <v>433</v>
      </c>
      <c r="D81" s="17" t="s">
        <v>45</v>
      </c>
      <c r="E81" s="23">
        <v>35.5</v>
      </c>
      <c r="F81" s="23">
        <v>35.979999999999997</v>
      </c>
      <c r="G81" s="23">
        <f t="shared" si="6"/>
        <v>46.35</v>
      </c>
      <c r="H81" s="32">
        <f t="shared" si="7"/>
        <v>1277.29</v>
      </c>
      <c r="I81" s="232">
        <f t="shared" si="8"/>
        <v>1645.43</v>
      </c>
    </row>
    <row r="82" spans="1:13" ht="36" x14ac:dyDescent="0.2">
      <c r="A82" s="236" t="s">
        <v>1101</v>
      </c>
      <c r="B82" s="327" t="s">
        <v>707</v>
      </c>
      <c r="C82" s="328" t="s">
        <v>729</v>
      </c>
      <c r="D82" s="329" t="s">
        <v>45</v>
      </c>
      <c r="E82" s="330">
        <v>46.8</v>
      </c>
      <c r="F82" s="330">
        <v>21.52</v>
      </c>
      <c r="G82" s="330">
        <f t="shared" si="6"/>
        <v>27.72</v>
      </c>
      <c r="H82" s="331">
        <f t="shared" si="7"/>
        <v>1007.14</v>
      </c>
      <c r="I82" s="237">
        <f t="shared" si="8"/>
        <v>1297.3</v>
      </c>
    </row>
    <row r="83" spans="1:13" ht="48" x14ac:dyDescent="0.2">
      <c r="A83" s="231" t="s">
        <v>1102</v>
      </c>
      <c r="B83" s="9" t="s">
        <v>359</v>
      </c>
      <c r="C83" s="7" t="s">
        <v>100</v>
      </c>
      <c r="D83" s="17" t="s">
        <v>45</v>
      </c>
      <c r="E83" s="23">
        <v>62.7</v>
      </c>
      <c r="F83" s="23">
        <v>39.65</v>
      </c>
      <c r="G83" s="23">
        <f t="shared" si="6"/>
        <v>51.08</v>
      </c>
      <c r="H83" s="32">
        <f t="shared" si="7"/>
        <v>2486.06</v>
      </c>
      <c r="I83" s="232">
        <f t="shared" si="8"/>
        <v>3202.72</v>
      </c>
    </row>
    <row r="84" spans="1:13" ht="48" x14ac:dyDescent="0.2">
      <c r="A84" s="231" t="s">
        <v>1103</v>
      </c>
      <c r="B84" s="9" t="s">
        <v>360</v>
      </c>
      <c r="C84" s="7" t="s">
        <v>102</v>
      </c>
      <c r="D84" s="17" t="s">
        <v>45</v>
      </c>
      <c r="E84" s="23">
        <v>25.75</v>
      </c>
      <c r="F84" s="23">
        <v>39.5</v>
      </c>
      <c r="G84" s="23">
        <f t="shared" si="6"/>
        <v>50.88</v>
      </c>
      <c r="H84" s="32">
        <f t="shared" si="7"/>
        <v>1017.13</v>
      </c>
      <c r="I84" s="232">
        <f t="shared" si="8"/>
        <v>1310.1600000000001</v>
      </c>
      <c r="M84" s="20"/>
    </row>
    <row r="85" spans="1:13" ht="60" x14ac:dyDescent="0.2">
      <c r="A85" s="231" t="s">
        <v>1104</v>
      </c>
      <c r="B85" s="9" t="s">
        <v>361</v>
      </c>
      <c r="C85" s="7" t="s">
        <v>443</v>
      </c>
      <c r="D85" s="17" t="s">
        <v>17</v>
      </c>
      <c r="E85" s="23">
        <v>31</v>
      </c>
      <c r="F85" s="23">
        <v>80.209999999999994</v>
      </c>
      <c r="G85" s="23">
        <f t="shared" si="6"/>
        <v>103.33</v>
      </c>
      <c r="H85" s="32">
        <f t="shared" si="7"/>
        <v>2486.5100000000002</v>
      </c>
      <c r="I85" s="232">
        <f t="shared" si="8"/>
        <v>3203.23</v>
      </c>
      <c r="M85" s="20"/>
    </row>
    <row r="86" spans="1:13" ht="48" x14ac:dyDescent="0.2">
      <c r="A86" s="231" t="s">
        <v>1105</v>
      </c>
      <c r="B86" s="9" t="s">
        <v>434</v>
      </c>
      <c r="C86" s="7" t="s">
        <v>447</v>
      </c>
      <c r="D86" s="17" t="s">
        <v>17</v>
      </c>
      <c r="E86" s="23">
        <v>6.32</v>
      </c>
      <c r="F86" s="23">
        <v>146.97999999999999</v>
      </c>
      <c r="G86" s="23">
        <f t="shared" si="6"/>
        <v>189.34</v>
      </c>
      <c r="H86" s="32">
        <f t="shared" si="7"/>
        <v>928.91</v>
      </c>
      <c r="I86" s="232">
        <f t="shared" si="8"/>
        <v>1196.6300000000001</v>
      </c>
    </row>
    <row r="87" spans="1:13" ht="48" x14ac:dyDescent="0.2">
      <c r="A87" s="231">
        <v>87266</v>
      </c>
      <c r="B87" s="9" t="s">
        <v>435</v>
      </c>
      <c r="C87" s="7" t="s">
        <v>719</v>
      </c>
      <c r="D87" s="17" t="s">
        <v>17</v>
      </c>
      <c r="E87" s="23">
        <v>14.53</v>
      </c>
      <c r="F87" s="23">
        <v>56.66</v>
      </c>
      <c r="G87" s="23">
        <f t="shared" si="6"/>
        <v>72.989999999999995</v>
      </c>
      <c r="H87" s="32">
        <f t="shared" si="7"/>
        <v>823.27</v>
      </c>
      <c r="I87" s="232">
        <f t="shared" si="8"/>
        <v>1060.54</v>
      </c>
    </row>
    <row r="88" spans="1:13" ht="72" x14ac:dyDescent="0.2">
      <c r="A88" s="231" t="s">
        <v>1158</v>
      </c>
      <c r="B88" s="9" t="s">
        <v>444</v>
      </c>
      <c r="C88" s="7" t="s">
        <v>1159</v>
      </c>
      <c r="D88" s="17" t="s">
        <v>17</v>
      </c>
      <c r="E88" s="23">
        <v>68.010000000000005</v>
      </c>
      <c r="F88" s="23">
        <v>85.33</v>
      </c>
      <c r="G88" s="23">
        <f t="shared" si="6"/>
        <v>109.92</v>
      </c>
      <c r="H88" s="32">
        <f t="shared" si="7"/>
        <v>5803.29</v>
      </c>
      <c r="I88" s="232">
        <f t="shared" si="8"/>
        <v>7475.66</v>
      </c>
      <c r="J88" s="20"/>
    </row>
    <row r="89" spans="1:13" ht="60" x14ac:dyDescent="0.2">
      <c r="A89" s="231" t="s">
        <v>1160</v>
      </c>
      <c r="B89" s="9" t="s">
        <v>448</v>
      </c>
      <c r="C89" s="7" t="s">
        <v>1161</v>
      </c>
      <c r="D89" s="17" t="s">
        <v>17</v>
      </c>
      <c r="E89" s="23">
        <v>1.27</v>
      </c>
      <c r="F89" s="23">
        <v>172.57</v>
      </c>
      <c r="G89" s="23">
        <f t="shared" si="6"/>
        <v>222.3</v>
      </c>
      <c r="H89" s="32">
        <f t="shared" si="7"/>
        <v>219.16</v>
      </c>
      <c r="I89" s="232">
        <f t="shared" si="8"/>
        <v>282.32</v>
      </c>
      <c r="J89" s="20"/>
    </row>
    <row r="90" spans="1:13" x14ac:dyDescent="0.2">
      <c r="A90" s="231"/>
      <c r="B90" s="9"/>
      <c r="C90" s="22"/>
      <c r="D90" s="22"/>
      <c r="E90" s="23"/>
      <c r="F90" s="23"/>
      <c r="G90" s="23"/>
      <c r="H90" s="32"/>
      <c r="I90" s="232"/>
    </row>
    <row r="91" spans="1:13" x14ac:dyDescent="0.2">
      <c r="A91" s="233"/>
      <c r="B91" s="51" t="s">
        <v>12</v>
      </c>
      <c r="C91" s="52" t="s">
        <v>103</v>
      </c>
      <c r="D91" s="51"/>
      <c r="E91" s="54"/>
      <c r="F91" s="54"/>
      <c r="G91" s="54"/>
      <c r="H91" s="58">
        <f>SUM(H92:H93)</f>
        <v>57885.700000000004</v>
      </c>
      <c r="I91" s="234">
        <f>SUM(I92:I95)</f>
        <v>124955.9</v>
      </c>
    </row>
    <row r="92" spans="1:13" ht="48" x14ac:dyDescent="0.2">
      <c r="A92" s="240" t="s">
        <v>1106</v>
      </c>
      <c r="B92" s="9" t="s">
        <v>309</v>
      </c>
      <c r="C92" s="7" t="s">
        <v>105</v>
      </c>
      <c r="D92" s="17" t="s">
        <v>17</v>
      </c>
      <c r="E92" s="23">
        <v>100.8</v>
      </c>
      <c r="F92" s="23">
        <v>500.82</v>
      </c>
      <c r="G92" s="23">
        <f>ROUND($F92*$D$235,2)</f>
        <v>645.16</v>
      </c>
      <c r="H92" s="32">
        <f>ROUND($E92*$F92,2)</f>
        <v>50482.66</v>
      </c>
      <c r="I92" s="232">
        <f>ROUND($E92*$G92,2)</f>
        <v>65032.13</v>
      </c>
      <c r="M92" s="20"/>
    </row>
    <row r="93" spans="1:13" ht="36" x14ac:dyDescent="0.2">
      <c r="A93" s="231" t="s">
        <v>1107</v>
      </c>
      <c r="B93" s="9" t="s">
        <v>362</v>
      </c>
      <c r="C93" s="7" t="s">
        <v>657</v>
      </c>
      <c r="D93" s="17" t="s">
        <v>17</v>
      </c>
      <c r="E93" s="23">
        <v>8</v>
      </c>
      <c r="F93" s="23">
        <v>925.38</v>
      </c>
      <c r="G93" s="23">
        <f>ROUND($F93*$D$235,2)</f>
        <v>1192.07</v>
      </c>
      <c r="H93" s="32">
        <f>ROUND($E93*$F93,2)</f>
        <v>7403.04</v>
      </c>
      <c r="I93" s="232">
        <f>ROUND($E93*$G93,2)</f>
        <v>9536.56</v>
      </c>
    </row>
    <row r="94" spans="1:13" ht="108" x14ac:dyDescent="0.2">
      <c r="A94" s="231" t="s">
        <v>1162</v>
      </c>
      <c r="B94" s="9" t="s">
        <v>798</v>
      </c>
      <c r="C94" s="7" t="s">
        <v>1163</v>
      </c>
      <c r="D94" s="17" t="s">
        <v>16</v>
      </c>
      <c r="E94" s="23">
        <v>7</v>
      </c>
      <c r="F94" s="23">
        <v>101.2</v>
      </c>
      <c r="G94" s="23">
        <f>ROUND($F94*$D$235,2)</f>
        <v>130.37</v>
      </c>
      <c r="H94" s="32">
        <f>ROUND($E94*$F94,2)</f>
        <v>708.4</v>
      </c>
      <c r="I94" s="232">
        <f>ROUND($E94*$G94,2)</f>
        <v>912.59</v>
      </c>
    </row>
    <row r="95" spans="1:13" x14ac:dyDescent="0.2">
      <c r="A95" s="240" t="s">
        <v>799</v>
      </c>
      <c r="B95" s="9" t="s">
        <v>1164</v>
      </c>
      <c r="C95" s="7" t="s">
        <v>800</v>
      </c>
      <c r="D95" s="17" t="s">
        <v>17</v>
      </c>
      <c r="E95" s="23">
        <v>108.8</v>
      </c>
      <c r="F95" s="23">
        <v>353</v>
      </c>
      <c r="G95" s="23">
        <f>ROUND($F95*$D$235,2)</f>
        <v>454.73</v>
      </c>
      <c r="H95" s="32">
        <f t="shared" ref="H95" si="9">ROUND($E95*$F95,2)</f>
        <v>38406.400000000001</v>
      </c>
      <c r="I95" s="232">
        <f t="shared" ref="I95" si="10">ROUND($E95*$G95,2)</f>
        <v>49474.62</v>
      </c>
    </row>
    <row r="96" spans="1:13" x14ac:dyDescent="0.2">
      <c r="A96" s="231"/>
      <c r="B96" s="9"/>
      <c r="C96" s="9"/>
      <c r="D96" s="9"/>
      <c r="E96" s="23"/>
      <c r="F96" s="23"/>
      <c r="G96" s="23"/>
      <c r="H96" s="32"/>
      <c r="I96" s="232"/>
    </row>
    <row r="97" spans="1:9" x14ac:dyDescent="0.2">
      <c r="A97" s="233"/>
      <c r="B97" s="51" t="s">
        <v>13</v>
      </c>
      <c r="C97" s="52" t="s">
        <v>114</v>
      </c>
      <c r="D97" s="51"/>
      <c r="E97" s="54"/>
      <c r="F97" s="54"/>
      <c r="G97" s="54"/>
      <c r="H97" s="58">
        <f>SUM(H98:H108)</f>
        <v>5799.9400000000005</v>
      </c>
      <c r="I97" s="234">
        <f>SUM(I98:I108)</f>
        <v>7471.5100000000011</v>
      </c>
    </row>
    <row r="98" spans="1:9" ht="60" x14ac:dyDescent="0.2">
      <c r="A98" s="231" t="s">
        <v>1108</v>
      </c>
      <c r="B98" s="9" t="s">
        <v>310</v>
      </c>
      <c r="C98" s="7" t="s">
        <v>108</v>
      </c>
      <c r="D98" s="17" t="s">
        <v>16</v>
      </c>
      <c r="E98" s="23">
        <v>1</v>
      </c>
      <c r="F98" s="23">
        <v>166.87</v>
      </c>
      <c r="G98" s="23">
        <f t="shared" ref="G98:G108" si="11">ROUND($F98*$D$235,2)</f>
        <v>214.96</v>
      </c>
      <c r="H98" s="32">
        <f t="shared" ref="H98:H108" si="12">ROUND($E98*$F98,2)</f>
        <v>166.87</v>
      </c>
      <c r="I98" s="232">
        <f t="shared" ref="I98:I108" si="13">ROUND($E98*$G98,2)</f>
        <v>214.96</v>
      </c>
    </row>
    <row r="99" spans="1:9" ht="72" x14ac:dyDescent="0.2">
      <c r="A99" s="236" t="s">
        <v>1109</v>
      </c>
      <c r="B99" s="327" t="s">
        <v>363</v>
      </c>
      <c r="C99" s="328" t="s">
        <v>112</v>
      </c>
      <c r="D99" s="329" t="s">
        <v>16</v>
      </c>
      <c r="E99" s="330">
        <v>7</v>
      </c>
      <c r="F99" s="330">
        <v>100.02</v>
      </c>
      <c r="G99" s="330">
        <f t="shared" si="11"/>
        <v>128.85</v>
      </c>
      <c r="H99" s="331">
        <f t="shared" si="12"/>
        <v>700.14</v>
      </c>
      <c r="I99" s="334">
        <f t="shared" si="13"/>
        <v>901.95</v>
      </c>
    </row>
    <row r="100" spans="1:9" ht="60" x14ac:dyDescent="0.2">
      <c r="A100" s="231" t="s">
        <v>1110</v>
      </c>
      <c r="B100" s="9" t="s">
        <v>364</v>
      </c>
      <c r="C100" s="7" t="s">
        <v>110</v>
      </c>
      <c r="D100" s="17" t="s">
        <v>16</v>
      </c>
      <c r="E100" s="23">
        <v>1</v>
      </c>
      <c r="F100" s="23">
        <v>95.76</v>
      </c>
      <c r="G100" s="23">
        <f t="shared" si="11"/>
        <v>123.36</v>
      </c>
      <c r="H100" s="32">
        <f t="shared" si="12"/>
        <v>95.76</v>
      </c>
      <c r="I100" s="232">
        <f t="shared" si="13"/>
        <v>123.36</v>
      </c>
    </row>
    <row r="101" spans="1:9" ht="84" x14ac:dyDescent="0.2">
      <c r="A101" s="231" t="s">
        <v>1111</v>
      </c>
      <c r="B101" s="9" t="s">
        <v>365</v>
      </c>
      <c r="C101" s="7" t="s">
        <v>116</v>
      </c>
      <c r="D101" s="17" t="s">
        <v>16</v>
      </c>
      <c r="E101" s="23">
        <v>1</v>
      </c>
      <c r="F101" s="23">
        <v>9.42</v>
      </c>
      <c r="G101" s="23">
        <f t="shared" si="11"/>
        <v>12.13</v>
      </c>
      <c r="H101" s="32">
        <f t="shared" si="12"/>
        <v>9.42</v>
      </c>
      <c r="I101" s="232">
        <f t="shared" si="13"/>
        <v>12.13</v>
      </c>
    </row>
    <row r="102" spans="1:9" ht="96" x14ac:dyDescent="0.2">
      <c r="A102" s="231" t="s">
        <v>1112</v>
      </c>
      <c r="B102" s="9" t="s">
        <v>366</v>
      </c>
      <c r="C102" s="7" t="s">
        <v>285</v>
      </c>
      <c r="D102" s="17" t="s">
        <v>16</v>
      </c>
      <c r="E102" s="23">
        <v>5</v>
      </c>
      <c r="F102" s="23">
        <v>303.68</v>
      </c>
      <c r="G102" s="23">
        <f t="shared" si="11"/>
        <v>391.2</v>
      </c>
      <c r="H102" s="32">
        <f t="shared" si="12"/>
        <v>1518.4</v>
      </c>
      <c r="I102" s="232">
        <f t="shared" si="13"/>
        <v>1956</v>
      </c>
    </row>
    <row r="103" spans="1:9" ht="108" x14ac:dyDescent="0.2">
      <c r="A103" s="231" t="s">
        <v>1113</v>
      </c>
      <c r="B103" s="9" t="s">
        <v>367</v>
      </c>
      <c r="C103" s="7" t="s">
        <v>662</v>
      </c>
      <c r="D103" s="17" t="s">
        <v>16</v>
      </c>
      <c r="E103" s="23">
        <v>4</v>
      </c>
      <c r="F103" s="23">
        <v>268.43</v>
      </c>
      <c r="G103" s="23">
        <f t="shared" si="11"/>
        <v>345.79</v>
      </c>
      <c r="H103" s="32">
        <f t="shared" si="12"/>
        <v>1073.72</v>
      </c>
      <c r="I103" s="232">
        <f t="shared" si="13"/>
        <v>1383.16</v>
      </c>
    </row>
    <row r="104" spans="1:9" ht="48" x14ac:dyDescent="0.2">
      <c r="A104" s="231" t="s">
        <v>1114</v>
      </c>
      <c r="B104" s="9" t="s">
        <v>368</v>
      </c>
      <c r="C104" s="7" t="s">
        <v>286</v>
      </c>
      <c r="D104" s="17" t="s">
        <v>16</v>
      </c>
      <c r="E104" s="23">
        <v>5</v>
      </c>
      <c r="F104" s="23">
        <v>149.61000000000001</v>
      </c>
      <c r="G104" s="23">
        <f t="shared" si="11"/>
        <v>192.73</v>
      </c>
      <c r="H104" s="32">
        <f t="shared" si="12"/>
        <v>748.05</v>
      </c>
      <c r="I104" s="232">
        <f t="shared" si="13"/>
        <v>963.65</v>
      </c>
    </row>
    <row r="105" spans="1:9" ht="48" x14ac:dyDescent="0.2">
      <c r="A105" s="231" t="s">
        <v>1115</v>
      </c>
      <c r="B105" s="9" t="s">
        <v>369</v>
      </c>
      <c r="C105" s="7" t="s">
        <v>287</v>
      </c>
      <c r="D105" s="17" t="s">
        <v>16</v>
      </c>
      <c r="E105" s="23">
        <v>2</v>
      </c>
      <c r="F105" s="23">
        <v>205.47</v>
      </c>
      <c r="G105" s="23">
        <f t="shared" si="11"/>
        <v>264.69</v>
      </c>
      <c r="H105" s="32">
        <f t="shared" si="12"/>
        <v>410.94</v>
      </c>
      <c r="I105" s="232">
        <f t="shared" si="13"/>
        <v>529.38</v>
      </c>
    </row>
    <row r="106" spans="1:9" ht="48" x14ac:dyDescent="0.2">
      <c r="A106" s="231" t="s">
        <v>1116</v>
      </c>
      <c r="B106" s="9" t="s">
        <v>370</v>
      </c>
      <c r="C106" s="7" t="s">
        <v>288</v>
      </c>
      <c r="D106" s="17" t="s">
        <v>16</v>
      </c>
      <c r="E106" s="23">
        <v>1</v>
      </c>
      <c r="F106" s="23">
        <v>203.62</v>
      </c>
      <c r="G106" s="23">
        <f t="shared" si="11"/>
        <v>262.3</v>
      </c>
      <c r="H106" s="32">
        <f t="shared" si="12"/>
        <v>203.62</v>
      </c>
      <c r="I106" s="232">
        <f t="shared" si="13"/>
        <v>262.3</v>
      </c>
    </row>
    <row r="107" spans="1:9" ht="72" x14ac:dyDescent="0.2">
      <c r="A107" s="231" t="s">
        <v>1117</v>
      </c>
      <c r="B107" s="9" t="s">
        <v>371</v>
      </c>
      <c r="C107" s="7" t="s">
        <v>665</v>
      </c>
      <c r="D107" s="17" t="s">
        <v>16</v>
      </c>
      <c r="E107" s="23">
        <v>4</v>
      </c>
      <c r="F107" s="23">
        <v>203.69</v>
      </c>
      <c r="G107" s="23">
        <f t="shared" si="11"/>
        <v>262.39</v>
      </c>
      <c r="H107" s="32">
        <f t="shared" si="12"/>
        <v>814.76</v>
      </c>
      <c r="I107" s="232">
        <f t="shared" si="13"/>
        <v>1049.56</v>
      </c>
    </row>
    <row r="108" spans="1:9" ht="24" x14ac:dyDescent="0.2">
      <c r="A108" s="231" t="s">
        <v>1118</v>
      </c>
      <c r="B108" s="9" t="s">
        <v>372</v>
      </c>
      <c r="C108" s="7" t="s">
        <v>667</v>
      </c>
      <c r="D108" s="17" t="s">
        <v>16</v>
      </c>
      <c r="E108" s="23">
        <v>3</v>
      </c>
      <c r="F108" s="23">
        <v>19.420000000000002</v>
      </c>
      <c r="G108" s="23">
        <f t="shared" si="11"/>
        <v>25.02</v>
      </c>
      <c r="H108" s="32">
        <f t="shared" si="12"/>
        <v>58.26</v>
      </c>
      <c r="I108" s="232">
        <f t="shared" si="13"/>
        <v>75.06</v>
      </c>
    </row>
    <row r="109" spans="1:9" x14ac:dyDescent="0.2">
      <c r="A109" s="231"/>
      <c r="B109" s="9"/>
      <c r="C109" s="7"/>
      <c r="D109" s="17"/>
      <c r="E109" s="23"/>
      <c r="F109" s="23"/>
      <c r="G109" s="23"/>
      <c r="H109" s="32"/>
      <c r="I109" s="232"/>
    </row>
    <row r="110" spans="1:9" x14ac:dyDescent="0.2">
      <c r="A110" s="233"/>
      <c r="B110" s="51" t="s">
        <v>124</v>
      </c>
      <c r="C110" s="52" t="s">
        <v>10</v>
      </c>
      <c r="D110" s="51"/>
      <c r="E110" s="54"/>
      <c r="F110" s="54"/>
      <c r="G110" s="54"/>
      <c r="H110" s="58">
        <f>SUM(H111:H115)</f>
        <v>35274.35</v>
      </c>
      <c r="I110" s="234">
        <f>SUM(I111:I115)</f>
        <v>45440.06</v>
      </c>
    </row>
    <row r="111" spans="1:9" ht="72" x14ac:dyDescent="0.2">
      <c r="A111" s="231" t="s">
        <v>1119</v>
      </c>
      <c r="B111" s="9" t="s">
        <v>311</v>
      </c>
      <c r="C111" s="7" t="s">
        <v>289</v>
      </c>
      <c r="D111" s="17" t="s">
        <v>17</v>
      </c>
      <c r="E111" s="23">
        <v>52.8</v>
      </c>
      <c r="F111" s="23">
        <v>138.72999999999999</v>
      </c>
      <c r="G111" s="23">
        <f>ROUND($F111*$D$235,2)</f>
        <v>178.71</v>
      </c>
      <c r="H111" s="32">
        <f>ROUND($E111*$F111,2)</f>
        <v>7324.94</v>
      </c>
      <c r="I111" s="232">
        <f>ROUND($E111*$G111,2)</f>
        <v>9435.89</v>
      </c>
    </row>
    <row r="112" spans="1:9" ht="48" x14ac:dyDescent="0.2">
      <c r="A112" s="231" t="s">
        <v>1120</v>
      </c>
      <c r="B112" s="9" t="s">
        <v>373</v>
      </c>
      <c r="C112" s="7" t="s">
        <v>290</v>
      </c>
      <c r="D112" s="17" t="s">
        <v>17</v>
      </c>
      <c r="E112" s="23">
        <v>26.4</v>
      </c>
      <c r="F112" s="23">
        <v>368.07</v>
      </c>
      <c r="G112" s="23">
        <f>ROUND($F112*$D$235,2)</f>
        <v>474.15</v>
      </c>
      <c r="H112" s="32">
        <f>ROUND($E112*$F112,2)</f>
        <v>9717.0499999999993</v>
      </c>
      <c r="I112" s="232">
        <f>ROUND($E112*$G112,2)</f>
        <v>12517.56</v>
      </c>
    </row>
    <row r="113" spans="1:13" ht="36" x14ac:dyDescent="0.2">
      <c r="A113" s="231" t="s">
        <v>1121</v>
      </c>
      <c r="B113" s="9" t="s">
        <v>374</v>
      </c>
      <c r="C113" s="7" t="s">
        <v>291</v>
      </c>
      <c r="D113" s="17" t="s">
        <v>17</v>
      </c>
      <c r="E113" s="23">
        <v>52.8</v>
      </c>
      <c r="F113" s="23">
        <v>303.17</v>
      </c>
      <c r="G113" s="23">
        <f>ROUND($F113*$D$235,2)</f>
        <v>390.54</v>
      </c>
      <c r="H113" s="32">
        <f>ROUND($E113*$F113,2)</f>
        <v>16007.38</v>
      </c>
      <c r="I113" s="232">
        <f>ROUND($E113*$G113,2)</f>
        <v>20620.509999999998</v>
      </c>
    </row>
    <row r="114" spans="1:13" ht="36" x14ac:dyDescent="0.2">
      <c r="A114" s="236" t="s">
        <v>1122</v>
      </c>
      <c r="B114" s="327" t="s">
        <v>375</v>
      </c>
      <c r="C114" s="328" t="s">
        <v>129</v>
      </c>
      <c r="D114" s="329" t="s">
        <v>45</v>
      </c>
      <c r="E114" s="330">
        <v>9.6</v>
      </c>
      <c r="F114" s="330">
        <v>50.37</v>
      </c>
      <c r="G114" s="330">
        <f>ROUND($F114*$D$235,2)</f>
        <v>64.89</v>
      </c>
      <c r="H114" s="331">
        <f>ROUND($E114*$F114,2)</f>
        <v>483.55</v>
      </c>
      <c r="I114" s="237">
        <f>ROUND($E114*$G114,2)</f>
        <v>622.94000000000005</v>
      </c>
    </row>
    <row r="115" spans="1:13" ht="120" x14ac:dyDescent="0.2">
      <c r="A115" s="231" t="s">
        <v>1123</v>
      </c>
      <c r="B115" s="9" t="s">
        <v>376</v>
      </c>
      <c r="C115" s="7" t="s">
        <v>292</v>
      </c>
      <c r="D115" s="17" t="s">
        <v>17</v>
      </c>
      <c r="E115" s="23">
        <v>30.8</v>
      </c>
      <c r="F115" s="23">
        <v>56.54</v>
      </c>
      <c r="G115" s="23">
        <f>ROUND($F115*$D$235,2)</f>
        <v>72.83</v>
      </c>
      <c r="H115" s="32">
        <f>ROUND($E115*$F115,2)</f>
        <v>1741.43</v>
      </c>
      <c r="I115" s="232">
        <f>ROUND($E115*$G115,2)</f>
        <v>2243.16</v>
      </c>
      <c r="M115" s="5"/>
    </row>
    <row r="116" spans="1:13" ht="15" x14ac:dyDescent="0.2">
      <c r="A116" s="231"/>
      <c r="B116" s="9"/>
      <c r="C116" s="7"/>
      <c r="D116" s="17"/>
      <c r="E116" s="23"/>
      <c r="F116" s="59"/>
      <c r="G116" s="23"/>
      <c r="H116" s="32"/>
      <c r="I116" s="232"/>
      <c r="M116" s="5"/>
    </row>
    <row r="117" spans="1:13" x14ac:dyDescent="0.2">
      <c r="A117" s="241"/>
      <c r="B117" s="146" t="s">
        <v>125</v>
      </c>
      <c r="C117" s="147" t="s">
        <v>1037</v>
      </c>
      <c r="D117" s="148"/>
      <c r="E117" s="149"/>
      <c r="F117" s="148"/>
      <c r="G117" s="150"/>
      <c r="H117" s="151">
        <f>H119+H184+H194</f>
        <v>324481.2</v>
      </c>
      <c r="I117" s="242">
        <f>I119+I184+I194</f>
        <v>417978.7699999999</v>
      </c>
      <c r="M117" s="5"/>
    </row>
    <row r="118" spans="1:13" s="152" customFormat="1" ht="10.5" customHeight="1" x14ac:dyDescent="0.2">
      <c r="A118" s="243"/>
      <c r="B118" s="169"/>
      <c r="C118" s="156"/>
      <c r="D118" s="155"/>
      <c r="E118" s="154"/>
      <c r="F118" s="155"/>
      <c r="G118" s="158"/>
      <c r="H118" s="159"/>
      <c r="I118" s="244"/>
      <c r="M118" s="153"/>
    </row>
    <row r="119" spans="1:13" s="152" customFormat="1" x14ac:dyDescent="0.2">
      <c r="A119" s="243"/>
      <c r="B119" s="169" t="s">
        <v>312</v>
      </c>
      <c r="C119" s="156" t="s">
        <v>909</v>
      </c>
      <c r="D119" s="155"/>
      <c r="E119" s="154"/>
      <c r="F119" s="155"/>
      <c r="G119" s="158"/>
      <c r="H119" s="159">
        <f>SUM(H121:H182)</f>
        <v>174894.4</v>
      </c>
      <c r="I119" s="244">
        <f>SUM(I121:I182)</f>
        <v>225286.87999999995</v>
      </c>
      <c r="M119" s="153"/>
    </row>
    <row r="120" spans="1:13" x14ac:dyDescent="0.2">
      <c r="A120" s="245"/>
      <c r="B120" s="170"/>
      <c r="C120" s="160"/>
      <c r="D120" s="161"/>
      <c r="E120" s="162"/>
      <c r="F120" s="161"/>
      <c r="G120" s="163"/>
      <c r="H120" s="164"/>
      <c r="I120" s="246"/>
      <c r="M120" s="5"/>
    </row>
    <row r="121" spans="1:13" ht="48" x14ac:dyDescent="0.2">
      <c r="A121" s="247" t="s">
        <v>801</v>
      </c>
      <c r="B121" s="172" t="s">
        <v>910</v>
      </c>
      <c r="C121" s="171" t="s">
        <v>802</v>
      </c>
      <c r="D121" s="165" t="s">
        <v>803</v>
      </c>
      <c r="E121" s="166">
        <v>70</v>
      </c>
      <c r="F121" s="165">
        <v>114.71</v>
      </c>
      <c r="G121" s="23">
        <f t="shared" ref="G121:G152" si="14">ROUND($F121*$D$235,2)</f>
        <v>147.77000000000001</v>
      </c>
      <c r="H121" s="32">
        <f>ROUND($E121*$F121,2)</f>
        <v>8029.7</v>
      </c>
      <c r="I121" s="232">
        <f>ROUND($E121*$G121,2)</f>
        <v>10343.9</v>
      </c>
      <c r="M121" s="5"/>
    </row>
    <row r="122" spans="1:13" ht="48" x14ac:dyDescent="0.2">
      <c r="A122" s="247" t="s">
        <v>804</v>
      </c>
      <c r="B122" s="172" t="s">
        <v>911</v>
      </c>
      <c r="C122" s="171" t="s">
        <v>805</v>
      </c>
      <c r="D122" s="172" t="s">
        <v>803</v>
      </c>
      <c r="E122" s="166">
        <v>45</v>
      </c>
      <c r="F122" s="165">
        <v>58.3</v>
      </c>
      <c r="G122" s="23">
        <f t="shared" si="14"/>
        <v>75.099999999999994</v>
      </c>
      <c r="H122" s="32">
        <f>ROUND($E122*$F122,2)</f>
        <v>2623.5</v>
      </c>
      <c r="I122" s="232">
        <f>ROUND($E122*$G122,2)</f>
        <v>3379.5</v>
      </c>
      <c r="M122" s="5"/>
    </row>
    <row r="123" spans="1:13" ht="36" x14ac:dyDescent="0.2">
      <c r="A123" s="247" t="s">
        <v>806</v>
      </c>
      <c r="B123" s="172" t="s">
        <v>912</v>
      </c>
      <c r="C123" s="171" t="s">
        <v>807</v>
      </c>
      <c r="D123" s="165" t="s">
        <v>803</v>
      </c>
      <c r="E123" s="166">
        <v>160</v>
      </c>
      <c r="F123" s="165">
        <v>50.3</v>
      </c>
      <c r="G123" s="23">
        <f t="shared" si="14"/>
        <v>64.8</v>
      </c>
      <c r="H123" s="32">
        <f t="shared" ref="H123:H186" si="15">ROUND($E123*$F123,2)</f>
        <v>8048</v>
      </c>
      <c r="I123" s="232">
        <f t="shared" ref="I123:I186" si="16">ROUND($E123*$G123,2)</f>
        <v>10368</v>
      </c>
      <c r="M123" s="5"/>
    </row>
    <row r="124" spans="1:13" ht="36" x14ac:dyDescent="0.2">
      <c r="A124" s="248" t="s">
        <v>808</v>
      </c>
      <c r="B124" s="172" t="s">
        <v>913</v>
      </c>
      <c r="C124" s="173" t="s">
        <v>809</v>
      </c>
      <c r="D124" s="166" t="s">
        <v>810</v>
      </c>
      <c r="E124" s="165">
        <v>122</v>
      </c>
      <c r="F124" s="165">
        <v>10.18</v>
      </c>
      <c r="G124" s="23">
        <f t="shared" si="14"/>
        <v>13.11</v>
      </c>
      <c r="H124" s="32">
        <f t="shared" si="15"/>
        <v>1241.96</v>
      </c>
      <c r="I124" s="232">
        <f t="shared" si="16"/>
        <v>1599.42</v>
      </c>
      <c r="M124" s="5"/>
    </row>
    <row r="125" spans="1:13" ht="72" x14ac:dyDescent="0.2">
      <c r="A125" s="249" t="s">
        <v>811</v>
      </c>
      <c r="B125" s="172" t="s">
        <v>914</v>
      </c>
      <c r="C125" s="171" t="s">
        <v>812</v>
      </c>
      <c r="D125" s="165" t="s">
        <v>810</v>
      </c>
      <c r="E125" s="167">
        <v>69</v>
      </c>
      <c r="F125" s="168">
        <v>219.55</v>
      </c>
      <c r="G125" s="23">
        <f t="shared" si="14"/>
        <v>282.82</v>
      </c>
      <c r="H125" s="32">
        <f t="shared" si="15"/>
        <v>15148.95</v>
      </c>
      <c r="I125" s="232">
        <f t="shared" si="16"/>
        <v>19514.580000000002</v>
      </c>
      <c r="M125" s="5"/>
    </row>
    <row r="126" spans="1:13" ht="72" x14ac:dyDescent="0.2">
      <c r="A126" s="249" t="s">
        <v>813</v>
      </c>
      <c r="B126" s="172" t="s">
        <v>915</v>
      </c>
      <c r="C126" s="171" t="s">
        <v>814</v>
      </c>
      <c r="D126" s="165" t="s">
        <v>810</v>
      </c>
      <c r="E126" s="167">
        <v>49</v>
      </c>
      <c r="F126" s="168">
        <v>192.73</v>
      </c>
      <c r="G126" s="23">
        <f t="shared" si="14"/>
        <v>248.27</v>
      </c>
      <c r="H126" s="32">
        <f t="shared" si="15"/>
        <v>9443.77</v>
      </c>
      <c r="I126" s="232">
        <f t="shared" si="16"/>
        <v>12165.23</v>
      </c>
      <c r="M126" s="5"/>
    </row>
    <row r="127" spans="1:13" ht="72" x14ac:dyDescent="0.2">
      <c r="A127" s="247" t="s">
        <v>815</v>
      </c>
      <c r="B127" s="172" t="s">
        <v>916</v>
      </c>
      <c r="C127" s="171" t="s">
        <v>816</v>
      </c>
      <c r="D127" s="165" t="s">
        <v>810</v>
      </c>
      <c r="E127" s="166">
        <v>18</v>
      </c>
      <c r="F127" s="165">
        <v>145.1</v>
      </c>
      <c r="G127" s="23">
        <f t="shared" si="14"/>
        <v>186.92</v>
      </c>
      <c r="H127" s="32">
        <f t="shared" si="15"/>
        <v>2611.8000000000002</v>
      </c>
      <c r="I127" s="232">
        <f t="shared" si="16"/>
        <v>3364.56</v>
      </c>
      <c r="M127" s="5"/>
    </row>
    <row r="128" spans="1:13" ht="72" x14ac:dyDescent="0.2">
      <c r="A128" s="247" t="s">
        <v>817</v>
      </c>
      <c r="B128" s="172" t="s">
        <v>917</v>
      </c>
      <c r="C128" s="171" t="s">
        <v>818</v>
      </c>
      <c r="D128" s="165" t="s">
        <v>810</v>
      </c>
      <c r="E128" s="166">
        <v>3</v>
      </c>
      <c r="F128" s="165">
        <v>318.47000000000003</v>
      </c>
      <c r="G128" s="23">
        <f t="shared" si="14"/>
        <v>410.25</v>
      </c>
      <c r="H128" s="32">
        <f t="shared" si="15"/>
        <v>955.41</v>
      </c>
      <c r="I128" s="232">
        <f t="shared" si="16"/>
        <v>1230.75</v>
      </c>
      <c r="M128" s="5"/>
    </row>
    <row r="129" spans="1:13" ht="36" x14ac:dyDescent="0.2">
      <c r="A129" s="247" t="s">
        <v>819</v>
      </c>
      <c r="B129" s="172" t="s">
        <v>918</v>
      </c>
      <c r="C129" s="171" t="s">
        <v>820</v>
      </c>
      <c r="D129" s="165" t="s">
        <v>810</v>
      </c>
      <c r="E129" s="166">
        <v>21</v>
      </c>
      <c r="F129" s="165">
        <v>6.49</v>
      </c>
      <c r="G129" s="23">
        <f t="shared" si="14"/>
        <v>8.36</v>
      </c>
      <c r="H129" s="32">
        <f t="shared" si="15"/>
        <v>136.29</v>
      </c>
      <c r="I129" s="232">
        <f t="shared" si="16"/>
        <v>175.56</v>
      </c>
      <c r="M129" s="5"/>
    </row>
    <row r="130" spans="1:13" ht="36" x14ac:dyDescent="0.2">
      <c r="A130" s="247" t="s">
        <v>821</v>
      </c>
      <c r="B130" s="172" t="s">
        <v>919</v>
      </c>
      <c r="C130" s="171" t="s">
        <v>822</v>
      </c>
      <c r="D130" s="165" t="s">
        <v>810</v>
      </c>
      <c r="E130" s="166">
        <v>1</v>
      </c>
      <c r="F130" s="165">
        <v>14.96</v>
      </c>
      <c r="G130" s="23">
        <f t="shared" si="14"/>
        <v>19.27</v>
      </c>
      <c r="H130" s="32">
        <f t="shared" si="15"/>
        <v>14.96</v>
      </c>
      <c r="I130" s="232">
        <f t="shared" si="16"/>
        <v>19.27</v>
      </c>
      <c r="M130" s="5"/>
    </row>
    <row r="131" spans="1:13" ht="36" x14ac:dyDescent="0.2">
      <c r="A131" s="247" t="s">
        <v>823</v>
      </c>
      <c r="B131" s="172" t="s">
        <v>920</v>
      </c>
      <c r="C131" s="171" t="s">
        <v>824</v>
      </c>
      <c r="D131" s="165" t="s">
        <v>810</v>
      </c>
      <c r="E131" s="166">
        <v>2</v>
      </c>
      <c r="F131" s="165">
        <v>12.76</v>
      </c>
      <c r="G131" s="23">
        <f t="shared" si="14"/>
        <v>16.440000000000001</v>
      </c>
      <c r="H131" s="32">
        <f t="shared" si="15"/>
        <v>25.52</v>
      </c>
      <c r="I131" s="232">
        <f t="shared" si="16"/>
        <v>32.880000000000003</v>
      </c>
      <c r="M131" s="5"/>
    </row>
    <row r="132" spans="1:13" ht="36" x14ac:dyDescent="0.2">
      <c r="A132" s="247" t="s">
        <v>825</v>
      </c>
      <c r="B132" s="172" t="s">
        <v>921</v>
      </c>
      <c r="C132" s="171" t="s">
        <v>826</v>
      </c>
      <c r="D132" s="165" t="s">
        <v>810</v>
      </c>
      <c r="E132" s="166">
        <v>12</v>
      </c>
      <c r="F132" s="165">
        <v>10.52</v>
      </c>
      <c r="G132" s="23">
        <f t="shared" si="14"/>
        <v>13.55</v>
      </c>
      <c r="H132" s="32">
        <f t="shared" si="15"/>
        <v>126.24</v>
      </c>
      <c r="I132" s="232">
        <f t="shared" si="16"/>
        <v>162.6</v>
      </c>
      <c r="M132" s="5"/>
    </row>
    <row r="133" spans="1:13" ht="24" x14ac:dyDescent="0.2">
      <c r="A133" s="250" t="s">
        <v>827</v>
      </c>
      <c r="B133" s="332" t="s">
        <v>922</v>
      </c>
      <c r="C133" s="219" t="s">
        <v>828</v>
      </c>
      <c r="D133" s="333" t="s">
        <v>810</v>
      </c>
      <c r="E133" s="220">
        <v>4</v>
      </c>
      <c r="F133" s="333">
        <v>10.96</v>
      </c>
      <c r="G133" s="25">
        <f t="shared" si="14"/>
        <v>14.12</v>
      </c>
      <c r="H133" s="56">
        <f t="shared" si="15"/>
        <v>43.84</v>
      </c>
      <c r="I133" s="334">
        <f t="shared" si="16"/>
        <v>56.48</v>
      </c>
      <c r="M133" s="5"/>
    </row>
    <row r="134" spans="1:13" ht="24" x14ac:dyDescent="0.2">
      <c r="A134" s="247" t="s">
        <v>827</v>
      </c>
      <c r="B134" s="172" t="s">
        <v>923</v>
      </c>
      <c r="C134" s="171" t="s">
        <v>829</v>
      </c>
      <c r="D134" s="165" t="s">
        <v>810</v>
      </c>
      <c r="E134" s="166">
        <v>19</v>
      </c>
      <c r="F134" s="165">
        <v>10.96</v>
      </c>
      <c r="G134" s="23">
        <f t="shared" si="14"/>
        <v>14.12</v>
      </c>
      <c r="H134" s="32">
        <f t="shared" si="15"/>
        <v>208.24</v>
      </c>
      <c r="I134" s="232">
        <f t="shared" si="16"/>
        <v>268.27999999999997</v>
      </c>
      <c r="M134" s="5"/>
    </row>
    <row r="135" spans="1:13" ht="24" x14ac:dyDescent="0.2">
      <c r="A135" s="247" t="s">
        <v>830</v>
      </c>
      <c r="B135" s="172" t="s">
        <v>924</v>
      </c>
      <c r="C135" s="171" t="s">
        <v>831</v>
      </c>
      <c r="D135" s="165" t="s">
        <v>810</v>
      </c>
      <c r="E135" s="166">
        <v>3</v>
      </c>
      <c r="F135" s="165">
        <v>100.79</v>
      </c>
      <c r="G135" s="23">
        <f t="shared" si="14"/>
        <v>129.84</v>
      </c>
      <c r="H135" s="32">
        <f t="shared" si="15"/>
        <v>302.37</v>
      </c>
      <c r="I135" s="232">
        <f t="shared" si="16"/>
        <v>389.52</v>
      </c>
      <c r="M135" s="5"/>
    </row>
    <row r="136" spans="1:13" ht="24" x14ac:dyDescent="0.2">
      <c r="A136" s="247" t="s">
        <v>827</v>
      </c>
      <c r="B136" s="172" t="s">
        <v>925</v>
      </c>
      <c r="C136" s="171" t="s">
        <v>832</v>
      </c>
      <c r="D136" s="165" t="s">
        <v>810</v>
      </c>
      <c r="E136" s="166">
        <v>4</v>
      </c>
      <c r="F136" s="165">
        <v>10.96</v>
      </c>
      <c r="G136" s="23">
        <f t="shared" si="14"/>
        <v>14.12</v>
      </c>
      <c r="H136" s="32">
        <f t="shared" si="15"/>
        <v>43.84</v>
      </c>
      <c r="I136" s="232">
        <f t="shared" si="16"/>
        <v>56.48</v>
      </c>
      <c r="M136" s="5"/>
    </row>
    <row r="137" spans="1:13" ht="24" x14ac:dyDescent="0.2">
      <c r="A137" s="247" t="s">
        <v>827</v>
      </c>
      <c r="B137" s="172" t="s">
        <v>926</v>
      </c>
      <c r="C137" s="171" t="s">
        <v>833</v>
      </c>
      <c r="D137" s="165" t="s">
        <v>810</v>
      </c>
      <c r="E137" s="166">
        <v>9</v>
      </c>
      <c r="F137" s="165">
        <v>10.96</v>
      </c>
      <c r="G137" s="23">
        <f t="shared" si="14"/>
        <v>14.12</v>
      </c>
      <c r="H137" s="32">
        <f t="shared" si="15"/>
        <v>98.64</v>
      </c>
      <c r="I137" s="232">
        <f t="shared" si="16"/>
        <v>127.08</v>
      </c>
      <c r="M137" s="5"/>
    </row>
    <row r="138" spans="1:13" ht="24" x14ac:dyDescent="0.2">
      <c r="A138" s="247" t="s">
        <v>834</v>
      </c>
      <c r="B138" s="172" t="s">
        <v>927</v>
      </c>
      <c r="C138" s="171" t="s">
        <v>835</v>
      </c>
      <c r="D138" s="165" t="s">
        <v>810</v>
      </c>
      <c r="E138" s="166">
        <v>10</v>
      </c>
      <c r="F138" s="165">
        <v>31.46</v>
      </c>
      <c r="G138" s="23">
        <f t="shared" si="14"/>
        <v>40.53</v>
      </c>
      <c r="H138" s="32">
        <f t="shared" si="15"/>
        <v>314.60000000000002</v>
      </c>
      <c r="I138" s="232">
        <f t="shared" si="16"/>
        <v>405.3</v>
      </c>
      <c r="M138" s="5"/>
    </row>
    <row r="139" spans="1:13" ht="24" x14ac:dyDescent="0.2">
      <c r="A139" s="247" t="s">
        <v>834</v>
      </c>
      <c r="B139" s="172" t="s">
        <v>928</v>
      </c>
      <c r="C139" s="171" t="s">
        <v>836</v>
      </c>
      <c r="D139" s="165" t="s">
        <v>810</v>
      </c>
      <c r="E139" s="166">
        <v>6</v>
      </c>
      <c r="F139" s="165">
        <v>31.46</v>
      </c>
      <c r="G139" s="23">
        <f t="shared" si="14"/>
        <v>40.53</v>
      </c>
      <c r="H139" s="32">
        <f t="shared" si="15"/>
        <v>188.76</v>
      </c>
      <c r="I139" s="232">
        <f t="shared" si="16"/>
        <v>243.18</v>
      </c>
      <c r="M139" s="5"/>
    </row>
    <row r="140" spans="1:13" ht="24" x14ac:dyDescent="0.2">
      <c r="A140" s="247" t="s">
        <v>834</v>
      </c>
      <c r="B140" s="172" t="s">
        <v>929</v>
      </c>
      <c r="C140" s="171" t="s">
        <v>837</v>
      </c>
      <c r="D140" s="165" t="s">
        <v>810</v>
      </c>
      <c r="E140" s="166">
        <v>15</v>
      </c>
      <c r="F140" s="165">
        <v>31.46</v>
      </c>
      <c r="G140" s="23">
        <f t="shared" si="14"/>
        <v>40.53</v>
      </c>
      <c r="H140" s="32">
        <f t="shared" si="15"/>
        <v>471.9</v>
      </c>
      <c r="I140" s="232">
        <f t="shared" si="16"/>
        <v>607.95000000000005</v>
      </c>
      <c r="M140" s="5"/>
    </row>
    <row r="141" spans="1:13" ht="24" x14ac:dyDescent="0.2">
      <c r="A141" s="247" t="s">
        <v>830</v>
      </c>
      <c r="B141" s="172" t="s">
        <v>930</v>
      </c>
      <c r="C141" s="171" t="s">
        <v>838</v>
      </c>
      <c r="D141" s="165" t="s">
        <v>810</v>
      </c>
      <c r="E141" s="166">
        <v>1</v>
      </c>
      <c r="F141" s="165">
        <v>100.79</v>
      </c>
      <c r="G141" s="23">
        <f t="shared" si="14"/>
        <v>129.84</v>
      </c>
      <c r="H141" s="32">
        <f t="shared" si="15"/>
        <v>100.79</v>
      </c>
      <c r="I141" s="232">
        <f t="shared" si="16"/>
        <v>129.84</v>
      </c>
      <c r="M141" s="5"/>
    </row>
    <row r="142" spans="1:13" ht="24" x14ac:dyDescent="0.2">
      <c r="A142" s="247" t="s">
        <v>830</v>
      </c>
      <c r="B142" s="172" t="s">
        <v>931</v>
      </c>
      <c r="C142" s="171" t="s">
        <v>839</v>
      </c>
      <c r="D142" s="165" t="s">
        <v>810</v>
      </c>
      <c r="E142" s="166">
        <v>2</v>
      </c>
      <c r="F142" s="165">
        <v>100.79</v>
      </c>
      <c r="G142" s="23">
        <f t="shared" si="14"/>
        <v>129.84</v>
      </c>
      <c r="H142" s="32">
        <f t="shared" si="15"/>
        <v>201.58</v>
      </c>
      <c r="I142" s="232">
        <f t="shared" si="16"/>
        <v>259.68</v>
      </c>
      <c r="M142" s="5"/>
    </row>
    <row r="143" spans="1:13" ht="60" x14ac:dyDescent="0.2">
      <c r="A143" s="247" t="s">
        <v>840</v>
      </c>
      <c r="B143" s="172" t="s">
        <v>932</v>
      </c>
      <c r="C143" s="171" t="s">
        <v>841</v>
      </c>
      <c r="D143" s="172" t="s">
        <v>803</v>
      </c>
      <c r="E143" s="166">
        <v>37</v>
      </c>
      <c r="F143" s="165">
        <v>78.53</v>
      </c>
      <c r="G143" s="23">
        <f t="shared" si="14"/>
        <v>101.16</v>
      </c>
      <c r="H143" s="32">
        <f t="shared" si="15"/>
        <v>2905.61</v>
      </c>
      <c r="I143" s="232">
        <f t="shared" si="16"/>
        <v>3742.92</v>
      </c>
      <c r="M143" s="5"/>
    </row>
    <row r="144" spans="1:13" ht="36" x14ac:dyDescent="0.2">
      <c r="A144" s="247" t="s">
        <v>842</v>
      </c>
      <c r="B144" s="172" t="s">
        <v>933</v>
      </c>
      <c r="C144" s="171" t="s">
        <v>843</v>
      </c>
      <c r="D144" s="165" t="s">
        <v>810</v>
      </c>
      <c r="E144" s="166">
        <v>9</v>
      </c>
      <c r="F144" s="165">
        <v>68.760000000000005</v>
      </c>
      <c r="G144" s="23">
        <f t="shared" si="14"/>
        <v>88.58</v>
      </c>
      <c r="H144" s="32">
        <f t="shared" si="15"/>
        <v>618.84</v>
      </c>
      <c r="I144" s="232">
        <f t="shared" si="16"/>
        <v>797.22</v>
      </c>
      <c r="M144" s="5"/>
    </row>
    <row r="145" spans="1:13" ht="60" x14ac:dyDescent="0.2">
      <c r="A145" s="247" t="s">
        <v>844</v>
      </c>
      <c r="B145" s="172" t="s">
        <v>934</v>
      </c>
      <c r="C145" s="171" t="s">
        <v>845</v>
      </c>
      <c r="D145" s="165" t="s">
        <v>810</v>
      </c>
      <c r="E145" s="166">
        <v>9</v>
      </c>
      <c r="F145" s="165">
        <v>39.299999999999997</v>
      </c>
      <c r="G145" s="23">
        <f t="shared" si="14"/>
        <v>50.63</v>
      </c>
      <c r="H145" s="32">
        <f t="shared" si="15"/>
        <v>353.7</v>
      </c>
      <c r="I145" s="232">
        <f t="shared" si="16"/>
        <v>455.67</v>
      </c>
      <c r="M145" s="5"/>
    </row>
    <row r="146" spans="1:13" ht="84" x14ac:dyDescent="0.2">
      <c r="A146" s="251" t="s">
        <v>846</v>
      </c>
      <c r="B146" s="172" t="s">
        <v>935</v>
      </c>
      <c r="C146" s="171" t="s">
        <v>847</v>
      </c>
      <c r="D146" s="165" t="s">
        <v>810</v>
      </c>
      <c r="E146" s="166">
        <v>1</v>
      </c>
      <c r="F146" s="165">
        <v>346</v>
      </c>
      <c r="G146" s="23">
        <f t="shared" si="14"/>
        <v>445.72</v>
      </c>
      <c r="H146" s="32">
        <f t="shared" si="15"/>
        <v>346</v>
      </c>
      <c r="I146" s="232">
        <f t="shared" si="16"/>
        <v>445.72</v>
      </c>
      <c r="M146" s="5"/>
    </row>
    <row r="147" spans="1:13" ht="36" x14ac:dyDescent="0.2">
      <c r="A147" s="247" t="s">
        <v>848</v>
      </c>
      <c r="B147" s="172" t="s">
        <v>936</v>
      </c>
      <c r="C147" s="171" t="s">
        <v>849</v>
      </c>
      <c r="D147" s="165" t="s">
        <v>810</v>
      </c>
      <c r="E147" s="166">
        <v>5</v>
      </c>
      <c r="F147" s="165">
        <v>30.36</v>
      </c>
      <c r="G147" s="23">
        <f t="shared" si="14"/>
        <v>39.11</v>
      </c>
      <c r="H147" s="32">
        <f t="shared" si="15"/>
        <v>151.80000000000001</v>
      </c>
      <c r="I147" s="232">
        <f t="shared" si="16"/>
        <v>195.55</v>
      </c>
      <c r="M147" s="5"/>
    </row>
    <row r="148" spans="1:13" ht="36" x14ac:dyDescent="0.2">
      <c r="A148" s="247" t="s">
        <v>850</v>
      </c>
      <c r="B148" s="172" t="s">
        <v>937</v>
      </c>
      <c r="C148" s="171" t="s">
        <v>851</v>
      </c>
      <c r="D148" s="165" t="s">
        <v>803</v>
      </c>
      <c r="E148" s="166">
        <v>350</v>
      </c>
      <c r="F148" s="165">
        <v>10.7</v>
      </c>
      <c r="G148" s="23">
        <f t="shared" si="14"/>
        <v>13.78</v>
      </c>
      <c r="H148" s="32">
        <f t="shared" si="15"/>
        <v>3745</v>
      </c>
      <c r="I148" s="232">
        <f t="shared" si="16"/>
        <v>4823</v>
      </c>
      <c r="M148" s="5"/>
    </row>
    <row r="149" spans="1:13" ht="24" x14ac:dyDescent="0.2">
      <c r="A149" s="247" t="s">
        <v>852</v>
      </c>
      <c r="B149" s="172" t="s">
        <v>938</v>
      </c>
      <c r="C149" s="171" t="s">
        <v>853</v>
      </c>
      <c r="D149" s="165" t="s">
        <v>854</v>
      </c>
      <c r="E149" s="166">
        <v>220</v>
      </c>
      <c r="F149" s="165">
        <v>18.77</v>
      </c>
      <c r="G149" s="23">
        <f t="shared" si="14"/>
        <v>24.18</v>
      </c>
      <c r="H149" s="32">
        <f t="shared" si="15"/>
        <v>4129.3999999999996</v>
      </c>
      <c r="I149" s="232">
        <f t="shared" si="16"/>
        <v>5319.6</v>
      </c>
      <c r="M149" s="5"/>
    </row>
    <row r="150" spans="1:13" ht="24" x14ac:dyDescent="0.2">
      <c r="A150" s="247" t="s">
        <v>855</v>
      </c>
      <c r="B150" s="172" t="s">
        <v>939</v>
      </c>
      <c r="C150" s="171" t="s">
        <v>856</v>
      </c>
      <c r="D150" s="165" t="s">
        <v>854</v>
      </c>
      <c r="E150" s="166">
        <v>220</v>
      </c>
      <c r="F150" s="165">
        <v>13.6</v>
      </c>
      <c r="G150" s="23">
        <f t="shared" si="14"/>
        <v>17.52</v>
      </c>
      <c r="H150" s="32">
        <f t="shared" si="15"/>
        <v>2992</v>
      </c>
      <c r="I150" s="232">
        <f t="shared" si="16"/>
        <v>3854.4</v>
      </c>
      <c r="M150" s="5"/>
    </row>
    <row r="151" spans="1:13" ht="24" x14ac:dyDescent="0.2">
      <c r="A151" s="247"/>
      <c r="B151" s="172" t="s">
        <v>940</v>
      </c>
      <c r="C151" s="171" t="s">
        <v>857</v>
      </c>
      <c r="D151" s="165" t="s">
        <v>810</v>
      </c>
      <c r="E151" s="166">
        <v>1</v>
      </c>
      <c r="F151" s="165">
        <v>4859.8599999999997</v>
      </c>
      <c r="G151" s="23">
        <f t="shared" si="14"/>
        <v>6260.47</v>
      </c>
      <c r="H151" s="32">
        <f t="shared" si="15"/>
        <v>4859.8599999999997</v>
      </c>
      <c r="I151" s="232">
        <f t="shared" si="16"/>
        <v>6260.47</v>
      </c>
      <c r="M151" s="5"/>
    </row>
    <row r="152" spans="1:13" ht="48" x14ac:dyDescent="0.2">
      <c r="A152" s="247" t="s">
        <v>858</v>
      </c>
      <c r="B152" s="172" t="s">
        <v>941</v>
      </c>
      <c r="C152" s="171" t="s">
        <v>859</v>
      </c>
      <c r="D152" s="172" t="s">
        <v>860</v>
      </c>
      <c r="E152" s="166">
        <v>3.2</v>
      </c>
      <c r="F152" s="165">
        <v>47.62</v>
      </c>
      <c r="G152" s="23">
        <f t="shared" si="14"/>
        <v>61.34</v>
      </c>
      <c r="H152" s="32">
        <f t="shared" si="15"/>
        <v>152.38</v>
      </c>
      <c r="I152" s="232">
        <f t="shared" si="16"/>
        <v>196.29</v>
      </c>
      <c r="M152" s="5"/>
    </row>
    <row r="153" spans="1:13" ht="24" x14ac:dyDescent="0.2">
      <c r="A153" s="247"/>
      <c r="B153" s="172" t="s">
        <v>942</v>
      </c>
      <c r="C153" s="171" t="s">
        <v>861</v>
      </c>
      <c r="D153" s="165" t="s">
        <v>810</v>
      </c>
      <c r="E153" s="165">
        <v>1</v>
      </c>
      <c r="F153" s="165">
        <v>4859.8599999999997</v>
      </c>
      <c r="G153" s="23">
        <f t="shared" ref="G153:G182" si="17">ROUND($F153*$D$235,2)</f>
        <v>6260.47</v>
      </c>
      <c r="H153" s="32">
        <f t="shared" si="15"/>
        <v>4859.8599999999997</v>
      </c>
      <c r="I153" s="232">
        <f t="shared" si="16"/>
        <v>6260.47</v>
      </c>
      <c r="M153" s="5"/>
    </row>
    <row r="154" spans="1:13" ht="24" x14ac:dyDescent="0.2">
      <c r="A154" s="247" t="s">
        <v>862</v>
      </c>
      <c r="B154" s="172" t="s">
        <v>943</v>
      </c>
      <c r="C154" s="171" t="s">
        <v>863</v>
      </c>
      <c r="D154" s="165" t="s">
        <v>810</v>
      </c>
      <c r="E154" s="166">
        <v>1</v>
      </c>
      <c r="F154" s="165">
        <v>259.32</v>
      </c>
      <c r="G154" s="23">
        <f t="shared" si="17"/>
        <v>334.06</v>
      </c>
      <c r="H154" s="32">
        <f t="shared" si="15"/>
        <v>259.32</v>
      </c>
      <c r="I154" s="232">
        <f t="shared" si="16"/>
        <v>334.06</v>
      </c>
      <c r="M154" s="5"/>
    </row>
    <row r="155" spans="1:13" ht="84" x14ac:dyDescent="0.2">
      <c r="A155" s="250" t="s">
        <v>864</v>
      </c>
      <c r="B155" s="332" t="s">
        <v>944</v>
      </c>
      <c r="C155" s="219" t="s">
        <v>865</v>
      </c>
      <c r="D155" s="333" t="s">
        <v>810</v>
      </c>
      <c r="E155" s="220">
        <v>1</v>
      </c>
      <c r="F155" s="333">
        <v>114.53</v>
      </c>
      <c r="G155" s="25">
        <f t="shared" si="17"/>
        <v>147.54</v>
      </c>
      <c r="H155" s="56">
        <f t="shared" si="15"/>
        <v>114.53</v>
      </c>
      <c r="I155" s="334">
        <f t="shared" si="16"/>
        <v>147.54</v>
      </c>
      <c r="M155" s="5"/>
    </row>
    <row r="156" spans="1:13" ht="60" x14ac:dyDescent="0.2">
      <c r="A156" s="247" t="s">
        <v>866</v>
      </c>
      <c r="B156" s="172" t="s">
        <v>945</v>
      </c>
      <c r="C156" s="171" t="s">
        <v>867</v>
      </c>
      <c r="D156" s="165" t="s">
        <v>810</v>
      </c>
      <c r="E156" s="166">
        <v>1</v>
      </c>
      <c r="F156" s="165">
        <v>271.52999999999997</v>
      </c>
      <c r="G156" s="23">
        <f t="shared" si="17"/>
        <v>349.78</v>
      </c>
      <c r="H156" s="32">
        <f t="shared" si="15"/>
        <v>271.52999999999997</v>
      </c>
      <c r="I156" s="232">
        <f t="shared" si="16"/>
        <v>349.78</v>
      </c>
      <c r="M156" s="5"/>
    </row>
    <row r="157" spans="1:13" ht="48" x14ac:dyDescent="0.2">
      <c r="A157" s="247"/>
      <c r="B157" s="172" t="s">
        <v>946</v>
      </c>
      <c r="C157" s="157" t="s">
        <v>868</v>
      </c>
      <c r="D157" s="165" t="s">
        <v>810</v>
      </c>
      <c r="E157" s="166">
        <v>1</v>
      </c>
      <c r="F157" s="165">
        <v>647.87</v>
      </c>
      <c r="G157" s="23">
        <f t="shared" si="17"/>
        <v>834.59</v>
      </c>
      <c r="H157" s="32">
        <f t="shared" si="15"/>
        <v>647.87</v>
      </c>
      <c r="I157" s="232">
        <f t="shared" si="16"/>
        <v>834.59</v>
      </c>
      <c r="M157" s="5"/>
    </row>
    <row r="158" spans="1:13" ht="36" x14ac:dyDescent="0.2">
      <c r="A158" s="247" t="s">
        <v>869</v>
      </c>
      <c r="B158" s="172" t="s">
        <v>947</v>
      </c>
      <c r="C158" s="171" t="s">
        <v>870</v>
      </c>
      <c r="D158" s="165" t="s">
        <v>803</v>
      </c>
      <c r="E158" s="166">
        <v>72</v>
      </c>
      <c r="F158" s="165">
        <v>10.220000000000001</v>
      </c>
      <c r="G158" s="23">
        <f t="shared" si="17"/>
        <v>13.17</v>
      </c>
      <c r="H158" s="32">
        <f t="shared" si="15"/>
        <v>735.84</v>
      </c>
      <c r="I158" s="232">
        <f t="shared" si="16"/>
        <v>948.24</v>
      </c>
      <c r="M158" s="5"/>
    </row>
    <row r="159" spans="1:13" ht="24" x14ac:dyDescent="0.2">
      <c r="A159" s="247">
        <v>91940</v>
      </c>
      <c r="B159" s="172" t="s">
        <v>948</v>
      </c>
      <c r="C159" s="171" t="s">
        <v>871</v>
      </c>
      <c r="D159" s="165" t="s">
        <v>810</v>
      </c>
      <c r="E159" s="166">
        <v>160</v>
      </c>
      <c r="F159" s="165">
        <v>13.41</v>
      </c>
      <c r="G159" s="23">
        <f t="shared" si="17"/>
        <v>17.27</v>
      </c>
      <c r="H159" s="32">
        <f t="shared" si="15"/>
        <v>2145.6</v>
      </c>
      <c r="I159" s="232">
        <f t="shared" si="16"/>
        <v>2763.2</v>
      </c>
      <c r="M159" s="5"/>
    </row>
    <row r="160" spans="1:13" ht="36" x14ac:dyDescent="0.2">
      <c r="A160" s="247" t="s">
        <v>872</v>
      </c>
      <c r="B160" s="172" t="s">
        <v>949</v>
      </c>
      <c r="C160" s="171" t="s">
        <v>873</v>
      </c>
      <c r="D160" s="172" t="s">
        <v>803</v>
      </c>
      <c r="E160" s="166">
        <v>400</v>
      </c>
      <c r="F160" s="165">
        <v>5.26</v>
      </c>
      <c r="G160" s="23">
        <f t="shared" si="17"/>
        <v>6.78</v>
      </c>
      <c r="H160" s="32">
        <f t="shared" si="15"/>
        <v>2104</v>
      </c>
      <c r="I160" s="232">
        <f t="shared" si="16"/>
        <v>2712</v>
      </c>
      <c r="M160" s="5"/>
    </row>
    <row r="161" spans="1:13" ht="48" x14ac:dyDescent="0.2">
      <c r="A161" s="247" t="s">
        <v>874</v>
      </c>
      <c r="B161" s="172" t="s">
        <v>950</v>
      </c>
      <c r="C161" s="171" t="s">
        <v>875</v>
      </c>
      <c r="D161" s="172" t="s">
        <v>803</v>
      </c>
      <c r="E161" s="166">
        <v>5500</v>
      </c>
      <c r="F161" s="165">
        <v>2.46</v>
      </c>
      <c r="G161" s="23">
        <f t="shared" si="17"/>
        <v>3.17</v>
      </c>
      <c r="H161" s="32">
        <f t="shared" si="15"/>
        <v>13530</v>
      </c>
      <c r="I161" s="232">
        <f t="shared" si="16"/>
        <v>17435</v>
      </c>
      <c r="M161" s="5"/>
    </row>
    <row r="162" spans="1:13" ht="48" x14ac:dyDescent="0.2">
      <c r="A162" s="247" t="s">
        <v>876</v>
      </c>
      <c r="B162" s="172" t="s">
        <v>951</v>
      </c>
      <c r="C162" s="171" t="s">
        <v>877</v>
      </c>
      <c r="D162" s="172" t="s">
        <v>803</v>
      </c>
      <c r="E162" s="166">
        <v>4500</v>
      </c>
      <c r="F162" s="165">
        <v>3.38</v>
      </c>
      <c r="G162" s="23">
        <f t="shared" si="17"/>
        <v>4.3499999999999996</v>
      </c>
      <c r="H162" s="32">
        <f t="shared" si="15"/>
        <v>15210</v>
      </c>
      <c r="I162" s="232">
        <f t="shared" si="16"/>
        <v>19575</v>
      </c>
      <c r="M162" s="5"/>
    </row>
    <row r="163" spans="1:13" ht="72" x14ac:dyDescent="0.2">
      <c r="A163" s="247" t="s">
        <v>878</v>
      </c>
      <c r="B163" s="172" t="s">
        <v>952</v>
      </c>
      <c r="C163" s="171" t="s">
        <v>879</v>
      </c>
      <c r="D163" s="165" t="s">
        <v>810</v>
      </c>
      <c r="E163" s="166">
        <v>1</v>
      </c>
      <c r="F163" s="165">
        <v>794.24</v>
      </c>
      <c r="G163" s="23">
        <f t="shared" si="17"/>
        <v>1023.14</v>
      </c>
      <c r="H163" s="32">
        <f t="shared" si="15"/>
        <v>794.24</v>
      </c>
      <c r="I163" s="232">
        <f t="shared" si="16"/>
        <v>1023.14</v>
      </c>
      <c r="M163" s="5"/>
    </row>
    <row r="164" spans="1:13" ht="60" x14ac:dyDescent="0.2">
      <c r="A164" s="247" t="s">
        <v>840</v>
      </c>
      <c r="B164" s="172" t="s">
        <v>953</v>
      </c>
      <c r="C164" s="171" t="s">
        <v>880</v>
      </c>
      <c r="D164" s="172" t="s">
        <v>803</v>
      </c>
      <c r="E164" s="166">
        <v>356</v>
      </c>
      <c r="F164" s="165">
        <v>78.53</v>
      </c>
      <c r="G164" s="23">
        <f t="shared" si="17"/>
        <v>101.16</v>
      </c>
      <c r="H164" s="32">
        <f t="shared" si="15"/>
        <v>27956.68</v>
      </c>
      <c r="I164" s="232">
        <f t="shared" si="16"/>
        <v>36012.959999999999</v>
      </c>
      <c r="M164" s="5"/>
    </row>
    <row r="165" spans="1:13" ht="60" x14ac:dyDescent="0.2">
      <c r="A165" s="247" t="s">
        <v>840</v>
      </c>
      <c r="B165" s="172" t="s">
        <v>954</v>
      </c>
      <c r="C165" s="171" t="s">
        <v>881</v>
      </c>
      <c r="D165" s="172" t="s">
        <v>803</v>
      </c>
      <c r="E165" s="166">
        <v>110</v>
      </c>
      <c r="F165" s="165">
        <v>78.53</v>
      </c>
      <c r="G165" s="23">
        <f t="shared" si="17"/>
        <v>101.16</v>
      </c>
      <c r="H165" s="32">
        <f t="shared" si="15"/>
        <v>8638.2999999999993</v>
      </c>
      <c r="I165" s="232">
        <f t="shared" si="16"/>
        <v>11127.6</v>
      </c>
      <c r="M165" s="5"/>
    </row>
    <row r="166" spans="1:13" ht="60" x14ac:dyDescent="0.2">
      <c r="A166" s="247" t="s">
        <v>882</v>
      </c>
      <c r="B166" s="172" t="s">
        <v>955</v>
      </c>
      <c r="C166" s="171" t="s">
        <v>883</v>
      </c>
      <c r="D166" s="172" t="s">
        <v>803</v>
      </c>
      <c r="E166" s="166">
        <v>110</v>
      </c>
      <c r="F166" s="165">
        <v>51.93</v>
      </c>
      <c r="G166" s="23">
        <f t="shared" si="17"/>
        <v>66.900000000000006</v>
      </c>
      <c r="H166" s="32">
        <f t="shared" si="15"/>
        <v>5712.3</v>
      </c>
      <c r="I166" s="232">
        <f t="shared" si="16"/>
        <v>7359</v>
      </c>
      <c r="M166" s="5"/>
    </row>
    <row r="167" spans="1:13" ht="60" x14ac:dyDescent="0.2">
      <c r="A167" s="247" t="s">
        <v>884</v>
      </c>
      <c r="B167" s="172" t="s">
        <v>956</v>
      </c>
      <c r="C167" s="171" t="s">
        <v>885</v>
      </c>
      <c r="D167" s="172" t="s">
        <v>803</v>
      </c>
      <c r="E167" s="166">
        <v>180</v>
      </c>
      <c r="F167" s="165">
        <v>17.27</v>
      </c>
      <c r="G167" s="23">
        <f t="shared" si="17"/>
        <v>22.25</v>
      </c>
      <c r="H167" s="32">
        <f t="shared" si="15"/>
        <v>3108.6</v>
      </c>
      <c r="I167" s="232">
        <f t="shared" si="16"/>
        <v>4005</v>
      </c>
      <c r="M167" s="5"/>
    </row>
    <row r="168" spans="1:13" ht="60" x14ac:dyDescent="0.2">
      <c r="A168" s="247" t="s">
        <v>884</v>
      </c>
      <c r="B168" s="172" t="s">
        <v>957</v>
      </c>
      <c r="C168" s="171" t="s">
        <v>886</v>
      </c>
      <c r="D168" s="172" t="s">
        <v>803</v>
      </c>
      <c r="E168" s="166">
        <v>60</v>
      </c>
      <c r="F168" s="165">
        <v>17.27</v>
      </c>
      <c r="G168" s="23">
        <f t="shared" si="17"/>
        <v>22.25</v>
      </c>
      <c r="H168" s="32">
        <f t="shared" si="15"/>
        <v>1036.2</v>
      </c>
      <c r="I168" s="232">
        <f t="shared" si="16"/>
        <v>1335</v>
      </c>
      <c r="M168" s="5"/>
    </row>
    <row r="169" spans="1:13" ht="60" x14ac:dyDescent="0.2">
      <c r="A169" s="247" t="s">
        <v>887</v>
      </c>
      <c r="B169" s="172" t="s">
        <v>958</v>
      </c>
      <c r="C169" s="171" t="s">
        <v>888</v>
      </c>
      <c r="D169" s="172" t="s">
        <v>803</v>
      </c>
      <c r="E169" s="166">
        <v>120</v>
      </c>
      <c r="F169" s="165">
        <v>8.49</v>
      </c>
      <c r="G169" s="23">
        <f t="shared" si="17"/>
        <v>10.94</v>
      </c>
      <c r="H169" s="32">
        <f t="shared" si="15"/>
        <v>1018.8</v>
      </c>
      <c r="I169" s="232">
        <f t="shared" si="16"/>
        <v>1312.8</v>
      </c>
      <c r="M169" s="5"/>
    </row>
    <row r="170" spans="1:13" ht="60" x14ac:dyDescent="0.2">
      <c r="A170" s="250" t="s">
        <v>887</v>
      </c>
      <c r="B170" s="332" t="s">
        <v>959</v>
      </c>
      <c r="C170" s="219" t="s">
        <v>889</v>
      </c>
      <c r="D170" s="332" t="s">
        <v>803</v>
      </c>
      <c r="E170" s="220">
        <v>240</v>
      </c>
      <c r="F170" s="333">
        <v>8.49</v>
      </c>
      <c r="G170" s="25">
        <f t="shared" si="17"/>
        <v>10.94</v>
      </c>
      <c r="H170" s="56">
        <f t="shared" si="15"/>
        <v>2037.6</v>
      </c>
      <c r="I170" s="334">
        <f t="shared" si="16"/>
        <v>2625.6</v>
      </c>
      <c r="M170" s="5"/>
    </row>
    <row r="171" spans="1:13" ht="60" x14ac:dyDescent="0.2">
      <c r="A171" s="247" t="s">
        <v>887</v>
      </c>
      <c r="B171" s="172" t="s">
        <v>960</v>
      </c>
      <c r="C171" s="171" t="s">
        <v>890</v>
      </c>
      <c r="D171" s="172" t="s">
        <v>803</v>
      </c>
      <c r="E171" s="166">
        <v>120</v>
      </c>
      <c r="F171" s="165">
        <v>8.49</v>
      </c>
      <c r="G171" s="23">
        <f t="shared" si="17"/>
        <v>10.94</v>
      </c>
      <c r="H171" s="32">
        <f t="shared" si="15"/>
        <v>1018.8</v>
      </c>
      <c r="I171" s="232">
        <f t="shared" si="16"/>
        <v>1312.8</v>
      </c>
      <c r="M171" s="5"/>
    </row>
    <row r="172" spans="1:13" ht="60" x14ac:dyDescent="0.2">
      <c r="A172" s="247" t="s">
        <v>891</v>
      </c>
      <c r="B172" s="172" t="s">
        <v>961</v>
      </c>
      <c r="C172" s="171" t="s">
        <v>892</v>
      </c>
      <c r="D172" s="172" t="s">
        <v>803</v>
      </c>
      <c r="E172" s="166">
        <v>186</v>
      </c>
      <c r="F172" s="165">
        <v>11.94</v>
      </c>
      <c r="G172" s="23">
        <f t="shared" si="17"/>
        <v>15.38</v>
      </c>
      <c r="H172" s="32">
        <f t="shared" si="15"/>
        <v>2220.84</v>
      </c>
      <c r="I172" s="232">
        <f t="shared" si="16"/>
        <v>2860.68</v>
      </c>
      <c r="M172" s="5"/>
    </row>
    <row r="173" spans="1:13" ht="60" x14ac:dyDescent="0.2">
      <c r="A173" s="247" t="s">
        <v>891</v>
      </c>
      <c r="B173" s="172" t="s">
        <v>962</v>
      </c>
      <c r="C173" s="171" t="s">
        <v>893</v>
      </c>
      <c r="D173" s="172" t="s">
        <v>803</v>
      </c>
      <c r="E173" s="166">
        <v>62</v>
      </c>
      <c r="F173" s="165">
        <v>11.94</v>
      </c>
      <c r="G173" s="23">
        <f t="shared" si="17"/>
        <v>15.38</v>
      </c>
      <c r="H173" s="32">
        <f t="shared" si="15"/>
        <v>740.28</v>
      </c>
      <c r="I173" s="232">
        <f t="shared" si="16"/>
        <v>953.56</v>
      </c>
      <c r="M173" s="5"/>
    </row>
    <row r="174" spans="1:13" ht="60" x14ac:dyDescent="0.2">
      <c r="A174" s="247" t="s">
        <v>891</v>
      </c>
      <c r="B174" s="172" t="s">
        <v>963</v>
      </c>
      <c r="C174" s="171" t="s">
        <v>894</v>
      </c>
      <c r="D174" s="172" t="s">
        <v>803</v>
      </c>
      <c r="E174" s="166">
        <v>150</v>
      </c>
      <c r="F174" s="165">
        <v>11.94</v>
      </c>
      <c r="G174" s="23">
        <f t="shared" si="17"/>
        <v>15.38</v>
      </c>
      <c r="H174" s="32">
        <f t="shared" si="15"/>
        <v>1791</v>
      </c>
      <c r="I174" s="232">
        <f t="shared" si="16"/>
        <v>2307</v>
      </c>
      <c r="M174" s="5"/>
    </row>
    <row r="175" spans="1:13" ht="24" x14ac:dyDescent="0.2">
      <c r="A175" s="247" t="s">
        <v>895</v>
      </c>
      <c r="B175" s="172" t="s">
        <v>964</v>
      </c>
      <c r="C175" s="171" t="s">
        <v>896</v>
      </c>
      <c r="D175" s="172" t="s">
        <v>810</v>
      </c>
      <c r="E175" s="166">
        <v>1</v>
      </c>
      <c r="F175" s="165">
        <v>799.96</v>
      </c>
      <c r="G175" s="23">
        <f t="shared" si="17"/>
        <v>1030.51</v>
      </c>
      <c r="H175" s="32">
        <f t="shared" si="15"/>
        <v>799.96</v>
      </c>
      <c r="I175" s="232">
        <f t="shared" si="16"/>
        <v>1030.51</v>
      </c>
      <c r="M175" s="5"/>
    </row>
    <row r="176" spans="1:13" ht="48" x14ac:dyDescent="0.2">
      <c r="A176" s="247" t="s">
        <v>897</v>
      </c>
      <c r="B176" s="172" t="s">
        <v>965</v>
      </c>
      <c r="C176" s="171" t="s">
        <v>898</v>
      </c>
      <c r="D176" s="172" t="s">
        <v>803</v>
      </c>
      <c r="E176" s="166">
        <v>20</v>
      </c>
      <c r="F176" s="165">
        <v>25.8</v>
      </c>
      <c r="G176" s="23">
        <f t="shared" si="17"/>
        <v>33.24</v>
      </c>
      <c r="H176" s="32">
        <f t="shared" si="15"/>
        <v>516</v>
      </c>
      <c r="I176" s="232">
        <f t="shared" si="16"/>
        <v>664.8</v>
      </c>
      <c r="M176" s="5"/>
    </row>
    <row r="177" spans="1:13" ht="36" x14ac:dyDescent="0.2">
      <c r="A177" s="247"/>
      <c r="B177" s="172" t="s">
        <v>966</v>
      </c>
      <c r="C177" s="171" t="s">
        <v>899</v>
      </c>
      <c r="D177" s="172" t="s">
        <v>810</v>
      </c>
      <c r="E177" s="166">
        <v>1</v>
      </c>
      <c r="F177" s="165">
        <v>5379.16</v>
      </c>
      <c r="G177" s="23">
        <f t="shared" si="17"/>
        <v>6929.43</v>
      </c>
      <c r="H177" s="32">
        <f t="shared" si="15"/>
        <v>5379.16</v>
      </c>
      <c r="I177" s="232">
        <f t="shared" si="16"/>
        <v>6929.43</v>
      </c>
      <c r="M177" s="5"/>
    </row>
    <row r="178" spans="1:13" ht="48" x14ac:dyDescent="0.2">
      <c r="A178" s="247" t="s">
        <v>900</v>
      </c>
      <c r="B178" s="172" t="s">
        <v>967</v>
      </c>
      <c r="C178" s="171" t="s">
        <v>901</v>
      </c>
      <c r="D178" s="172" t="s">
        <v>803</v>
      </c>
      <c r="E178" s="166">
        <v>12</v>
      </c>
      <c r="F178" s="165">
        <v>9.6</v>
      </c>
      <c r="G178" s="23">
        <f t="shared" si="17"/>
        <v>12.37</v>
      </c>
      <c r="H178" s="32">
        <f t="shared" si="15"/>
        <v>115.2</v>
      </c>
      <c r="I178" s="232">
        <f t="shared" si="16"/>
        <v>148.44</v>
      </c>
      <c r="M178" s="5"/>
    </row>
    <row r="179" spans="1:13" ht="48" x14ac:dyDescent="0.2">
      <c r="A179" s="247" t="s">
        <v>902</v>
      </c>
      <c r="B179" s="172" t="s">
        <v>968</v>
      </c>
      <c r="C179" s="171" t="s">
        <v>903</v>
      </c>
      <c r="D179" s="172" t="s">
        <v>803</v>
      </c>
      <c r="E179" s="166">
        <v>6</v>
      </c>
      <c r="F179" s="165">
        <v>12.66</v>
      </c>
      <c r="G179" s="23">
        <f t="shared" si="17"/>
        <v>16.309999999999999</v>
      </c>
      <c r="H179" s="32">
        <f t="shared" si="15"/>
        <v>75.959999999999994</v>
      </c>
      <c r="I179" s="232">
        <f t="shared" si="16"/>
        <v>97.86</v>
      </c>
      <c r="M179" s="5"/>
    </row>
    <row r="180" spans="1:13" ht="60" x14ac:dyDescent="0.2">
      <c r="A180" s="247" t="s">
        <v>904</v>
      </c>
      <c r="B180" s="172" t="s">
        <v>969</v>
      </c>
      <c r="C180" s="171" t="s">
        <v>905</v>
      </c>
      <c r="D180" s="172" t="s">
        <v>810</v>
      </c>
      <c r="E180" s="166">
        <v>6</v>
      </c>
      <c r="F180" s="165">
        <v>7.1</v>
      </c>
      <c r="G180" s="23">
        <f t="shared" si="17"/>
        <v>9.15</v>
      </c>
      <c r="H180" s="32">
        <f t="shared" si="15"/>
        <v>42.6</v>
      </c>
      <c r="I180" s="232">
        <f t="shared" si="16"/>
        <v>54.9</v>
      </c>
      <c r="M180" s="5"/>
    </row>
    <row r="181" spans="1:13" ht="60" x14ac:dyDescent="0.2">
      <c r="A181" s="247" t="s">
        <v>906</v>
      </c>
      <c r="B181" s="172" t="s">
        <v>970</v>
      </c>
      <c r="C181" s="171" t="s">
        <v>907</v>
      </c>
      <c r="D181" s="172" t="s">
        <v>803</v>
      </c>
      <c r="E181" s="166">
        <v>36</v>
      </c>
      <c r="F181" s="165">
        <v>28.71</v>
      </c>
      <c r="G181" s="23">
        <f t="shared" si="17"/>
        <v>36.979999999999997</v>
      </c>
      <c r="H181" s="32">
        <f t="shared" si="15"/>
        <v>1033.56</v>
      </c>
      <c r="I181" s="232">
        <f t="shared" si="16"/>
        <v>1331.28</v>
      </c>
      <c r="M181" s="5"/>
    </row>
    <row r="182" spans="1:13" ht="60" x14ac:dyDescent="0.2">
      <c r="A182" s="248" t="s">
        <v>906</v>
      </c>
      <c r="B182" s="172" t="s">
        <v>971</v>
      </c>
      <c r="C182" s="173" t="s">
        <v>908</v>
      </c>
      <c r="D182" s="172" t="s">
        <v>803</v>
      </c>
      <c r="E182" s="165">
        <v>12</v>
      </c>
      <c r="F182" s="165">
        <v>28.71</v>
      </c>
      <c r="G182" s="197">
        <f t="shared" si="17"/>
        <v>36.979999999999997</v>
      </c>
      <c r="H182" s="198">
        <f t="shared" si="15"/>
        <v>344.52</v>
      </c>
      <c r="I182" s="252">
        <f t="shared" si="16"/>
        <v>443.76</v>
      </c>
      <c r="M182" s="5"/>
    </row>
    <row r="183" spans="1:13" x14ac:dyDescent="0.2">
      <c r="A183" s="248"/>
      <c r="B183" s="170"/>
      <c r="C183" s="173"/>
      <c r="D183" s="172"/>
      <c r="E183" s="165"/>
      <c r="F183" s="165"/>
      <c r="G183" s="197"/>
      <c r="H183" s="198"/>
      <c r="I183" s="252"/>
      <c r="M183" s="5"/>
    </row>
    <row r="184" spans="1:13" x14ac:dyDescent="0.2">
      <c r="A184" s="253"/>
      <c r="B184" s="199" t="s">
        <v>377</v>
      </c>
      <c r="C184" s="200" t="s">
        <v>972</v>
      </c>
      <c r="D184" s="172"/>
      <c r="E184" s="165"/>
      <c r="F184" s="165"/>
      <c r="G184" s="197"/>
      <c r="H184" s="208">
        <f>SUM(H185:H192)</f>
        <v>34247.800000000003</v>
      </c>
      <c r="I184" s="254">
        <f>SUM(I185:I192)</f>
        <v>44113.040000000008</v>
      </c>
      <c r="M184" s="5"/>
    </row>
    <row r="185" spans="1:13" ht="36" x14ac:dyDescent="0.2">
      <c r="A185" s="248">
        <v>98297</v>
      </c>
      <c r="B185" s="172" t="s">
        <v>988</v>
      </c>
      <c r="C185" s="173" t="s">
        <v>973</v>
      </c>
      <c r="D185" s="172" t="s">
        <v>803</v>
      </c>
      <c r="E185" s="165">
        <v>6100</v>
      </c>
      <c r="F185" s="165">
        <v>1.46</v>
      </c>
      <c r="G185" s="197">
        <f t="shared" ref="G185:G192" si="18">ROUND($F185*$D$235,2)</f>
        <v>1.88</v>
      </c>
      <c r="H185" s="198">
        <f t="shared" si="15"/>
        <v>8906</v>
      </c>
      <c r="I185" s="252">
        <f t="shared" si="16"/>
        <v>11468</v>
      </c>
      <c r="M185" s="5"/>
    </row>
    <row r="186" spans="1:13" ht="24" x14ac:dyDescent="0.2">
      <c r="A186" s="248" t="s">
        <v>974</v>
      </c>
      <c r="B186" s="172" t="s">
        <v>989</v>
      </c>
      <c r="C186" s="173" t="s">
        <v>975</v>
      </c>
      <c r="D186" s="165" t="s">
        <v>810</v>
      </c>
      <c r="E186" s="165">
        <v>88</v>
      </c>
      <c r="F186" s="165">
        <v>5.97</v>
      </c>
      <c r="G186" s="197">
        <f t="shared" si="18"/>
        <v>7.69</v>
      </c>
      <c r="H186" s="198">
        <f t="shared" si="15"/>
        <v>525.36</v>
      </c>
      <c r="I186" s="252">
        <f t="shared" si="16"/>
        <v>676.72</v>
      </c>
      <c r="M186" s="5"/>
    </row>
    <row r="187" spans="1:13" ht="24" x14ac:dyDescent="0.2">
      <c r="A187" s="248" t="s">
        <v>976</v>
      </c>
      <c r="B187" s="172" t="s">
        <v>990</v>
      </c>
      <c r="C187" s="173" t="s">
        <v>977</v>
      </c>
      <c r="D187" s="165" t="s">
        <v>810</v>
      </c>
      <c r="E187" s="168">
        <v>88</v>
      </c>
      <c r="F187" s="165">
        <v>1.54</v>
      </c>
      <c r="G187" s="197">
        <f t="shared" si="18"/>
        <v>1.98</v>
      </c>
      <c r="H187" s="198">
        <f t="shared" ref="H187:H192" si="19">ROUND($E187*$F187,2)</f>
        <v>135.52000000000001</v>
      </c>
      <c r="I187" s="252">
        <f t="shared" ref="I187:I192" si="20">ROUND($E187*$G187,2)</f>
        <v>174.24</v>
      </c>
      <c r="M187" s="5"/>
    </row>
    <row r="188" spans="1:13" ht="36" x14ac:dyDescent="0.2">
      <c r="A188" s="248" t="s">
        <v>978</v>
      </c>
      <c r="B188" s="172" t="s">
        <v>991</v>
      </c>
      <c r="C188" s="173" t="s">
        <v>979</v>
      </c>
      <c r="D188" s="172" t="s">
        <v>803</v>
      </c>
      <c r="E188" s="165">
        <v>300</v>
      </c>
      <c r="F188" s="165">
        <v>4.58</v>
      </c>
      <c r="G188" s="197">
        <f t="shared" si="18"/>
        <v>5.9</v>
      </c>
      <c r="H188" s="198">
        <f t="shared" si="19"/>
        <v>1374</v>
      </c>
      <c r="I188" s="252">
        <f t="shared" si="20"/>
        <v>1770</v>
      </c>
      <c r="M188" s="5"/>
    </row>
    <row r="189" spans="1:13" ht="48" x14ac:dyDescent="0.2">
      <c r="A189" s="335" t="s">
        <v>980</v>
      </c>
      <c r="B189" s="332" t="s">
        <v>992</v>
      </c>
      <c r="C189" s="336" t="s">
        <v>981</v>
      </c>
      <c r="D189" s="332" t="s">
        <v>803</v>
      </c>
      <c r="E189" s="333">
        <v>160</v>
      </c>
      <c r="F189" s="333">
        <v>87.66</v>
      </c>
      <c r="G189" s="337">
        <f t="shared" si="18"/>
        <v>112.92</v>
      </c>
      <c r="H189" s="338">
        <f t="shared" si="19"/>
        <v>14025.6</v>
      </c>
      <c r="I189" s="255">
        <f t="shared" si="20"/>
        <v>18067.2</v>
      </c>
      <c r="M189" s="5"/>
    </row>
    <row r="190" spans="1:13" ht="48" x14ac:dyDescent="0.2">
      <c r="A190" s="248" t="s">
        <v>982</v>
      </c>
      <c r="B190" s="172" t="s">
        <v>993</v>
      </c>
      <c r="C190" s="173" t="s">
        <v>983</v>
      </c>
      <c r="D190" s="172" t="s">
        <v>803</v>
      </c>
      <c r="E190" s="165">
        <v>90</v>
      </c>
      <c r="F190" s="165">
        <v>66.680000000000007</v>
      </c>
      <c r="G190" s="197">
        <f t="shared" si="18"/>
        <v>85.9</v>
      </c>
      <c r="H190" s="198">
        <f t="shared" si="19"/>
        <v>6001.2</v>
      </c>
      <c r="I190" s="252">
        <f t="shared" si="20"/>
        <v>7731</v>
      </c>
      <c r="M190" s="5"/>
    </row>
    <row r="191" spans="1:13" ht="36" x14ac:dyDescent="0.2">
      <c r="A191" s="248" t="s">
        <v>984</v>
      </c>
      <c r="B191" s="172" t="s">
        <v>994</v>
      </c>
      <c r="C191" s="173" t="s">
        <v>985</v>
      </c>
      <c r="D191" s="165" t="s">
        <v>810</v>
      </c>
      <c r="E191" s="165">
        <v>20</v>
      </c>
      <c r="F191" s="165">
        <v>29.41</v>
      </c>
      <c r="G191" s="197">
        <f t="shared" si="18"/>
        <v>37.89</v>
      </c>
      <c r="H191" s="198">
        <f t="shared" si="19"/>
        <v>588.20000000000005</v>
      </c>
      <c r="I191" s="252">
        <f t="shared" si="20"/>
        <v>757.8</v>
      </c>
      <c r="M191" s="5"/>
    </row>
    <row r="192" spans="1:13" ht="24" x14ac:dyDescent="0.2">
      <c r="A192" s="248" t="s">
        <v>986</v>
      </c>
      <c r="B192" s="172" t="s">
        <v>995</v>
      </c>
      <c r="C192" s="173" t="s">
        <v>987</v>
      </c>
      <c r="D192" s="165" t="s">
        <v>810</v>
      </c>
      <c r="E192" s="165">
        <v>88</v>
      </c>
      <c r="F192" s="165">
        <v>30.59</v>
      </c>
      <c r="G192" s="197">
        <f t="shared" si="18"/>
        <v>39.409999999999997</v>
      </c>
      <c r="H192" s="198">
        <f t="shared" si="19"/>
        <v>2691.92</v>
      </c>
      <c r="I192" s="252">
        <f t="shared" si="20"/>
        <v>3468.08</v>
      </c>
      <c r="M192" s="5"/>
    </row>
    <row r="193" spans="1:13" x14ac:dyDescent="0.2">
      <c r="A193" s="248"/>
      <c r="B193" s="172"/>
      <c r="C193" s="173"/>
      <c r="D193" s="165"/>
      <c r="E193" s="165"/>
      <c r="F193" s="165"/>
      <c r="G193" s="197"/>
      <c r="H193" s="198"/>
      <c r="I193" s="252"/>
      <c r="M193" s="5"/>
    </row>
    <row r="194" spans="1:13" x14ac:dyDescent="0.2">
      <c r="A194" s="201"/>
      <c r="B194" s="209" t="s">
        <v>1124</v>
      </c>
      <c r="C194" s="210" t="s">
        <v>1125</v>
      </c>
      <c r="D194" s="203"/>
      <c r="E194" s="203"/>
      <c r="F194" s="203"/>
      <c r="G194" s="23"/>
      <c r="H194" s="207">
        <f>SUM(H195:H200)</f>
        <v>115339.00000000001</v>
      </c>
      <c r="I194" s="256">
        <f>SUM(I195:I200)</f>
        <v>148578.85</v>
      </c>
      <c r="M194" s="5"/>
    </row>
    <row r="195" spans="1:13" ht="84" x14ac:dyDescent="0.2">
      <c r="A195" s="204" t="s">
        <v>1038</v>
      </c>
      <c r="B195" s="205" t="s">
        <v>1152</v>
      </c>
      <c r="C195" s="206" t="s">
        <v>1039</v>
      </c>
      <c r="D195" s="165" t="s">
        <v>1040</v>
      </c>
      <c r="E195" s="165">
        <v>3</v>
      </c>
      <c r="F195" s="165">
        <v>443.74</v>
      </c>
      <c r="G195" s="197">
        <f t="shared" ref="G195:G200" si="21">ROUND($F195*$D$235,2)</f>
        <v>571.63</v>
      </c>
      <c r="H195" s="198">
        <f t="shared" ref="H195:H200" si="22">ROUND($E195*$F195,2)</f>
        <v>1331.22</v>
      </c>
      <c r="I195" s="252">
        <f t="shared" ref="I195:I200" si="23">ROUND($E195*$G195,2)</f>
        <v>1714.89</v>
      </c>
      <c r="M195" s="5"/>
    </row>
    <row r="196" spans="1:13" ht="84" x14ac:dyDescent="0.2">
      <c r="A196" s="204" t="s">
        <v>1041</v>
      </c>
      <c r="B196" s="205" t="s">
        <v>1153</v>
      </c>
      <c r="C196" s="206" t="s">
        <v>1042</v>
      </c>
      <c r="D196" s="165" t="s">
        <v>1040</v>
      </c>
      <c r="E196" s="165">
        <v>14</v>
      </c>
      <c r="F196" s="165">
        <v>851.4</v>
      </c>
      <c r="G196" s="197">
        <f t="shared" si="21"/>
        <v>1096.77</v>
      </c>
      <c r="H196" s="198">
        <f t="shared" si="22"/>
        <v>11919.6</v>
      </c>
      <c r="I196" s="252">
        <f t="shared" si="23"/>
        <v>15354.78</v>
      </c>
      <c r="M196" s="5"/>
    </row>
    <row r="197" spans="1:13" ht="84" x14ac:dyDescent="0.2">
      <c r="A197" s="204" t="s">
        <v>1043</v>
      </c>
      <c r="B197" s="205" t="s">
        <v>1154</v>
      </c>
      <c r="C197" s="206" t="s">
        <v>1044</v>
      </c>
      <c r="D197" s="165" t="s">
        <v>1040</v>
      </c>
      <c r="E197" s="165">
        <v>3</v>
      </c>
      <c r="F197" s="165">
        <v>924.23</v>
      </c>
      <c r="G197" s="197">
        <f t="shared" si="21"/>
        <v>1190.5899999999999</v>
      </c>
      <c r="H197" s="198">
        <f t="shared" si="22"/>
        <v>2772.69</v>
      </c>
      <c r="I197" s="252">
        <f t="shared" si="23"/>
        <v>3571.77</v>
      </c>
      <c r="M197" s="5"/>
    </row>
    <row r="198" spans="1:13" ht="84" x14ac:dyDescent="0.2">
      <c r="A198" s="204" t="s">
        <v>1050</v>
      </c>
      <c r="B198" s="205" t="s">
        <v>1155</v>
      </c>
      <c r="C198" s="206" t="s">
        <v>1049</v>
      </c>
      <c r="D198" s="165" t="s">
        <v>1040</v>
      </c>
      <c r="E198" s="165">
        <v>3</v>
      </c>
      <c r="F198" s="165">
        <v>2391.66</v>
      </c>
      <c r="G198" s="197">
        <f t="shared" si="21"/>
        <v>3080.94</v>
      </c>
      <c r="H198" s="198">
        <f t="shared" si="22"/>
        <v>7174.98</v>
      </c>
      <c r="I198" s="252">
        <f t="shared" si="23"/>
        <v>9242.82</v>
      </c>
      <c r="M198" s="5"/>
    </row>
    <row r="199" spans="1:13" ht="60" x14ac:dyDescent="0.2">
      <c r="A199" s="204" t="s">
        <v>1045</v>
      </c>
      <c r="B199" s="205" t="s">
        <v>1156</v>
      </c>
      <c r="C199" s="206" t="s">
        <v>1046</v>
      </c>
      <c r="D199" s="165" t="s">
        <v>803</v>
      </c>
      <c r="E199" s="165">
        <v>553</v>
      </c>
      <c r="F199" s="165">
        <v>149.07</v>
      </c>
      <c r="G199" s="197">
        <f t="shared" si="21"/>
        <v>192.03</v>
      </c>
      <c r="H199" s="198">
        <f t="shared" si="22"/>
        <v>82435.710000000006</v>
      </c>
      <c r="I199" s="252">
        <f t="shared" si="23"/>
        <v>106192.59</v>
      </c>
      <c r="M199" s="5"/>
    </row>
    <row r="200" spans="1:13" ht="36" x14ac:dyDescent="0.2">
      <c r="A200" s="201" t="s">
        <v>1126</v>
      </c>
      <c r="B200" s="205" t="s">
        <v>1157</v>
      </c>
      <c r="C200" s="202" t="s">
        <v>1047</v>
      </c>
      <c r="D200" s="165" t="s">
        <v>1048</v>
      </c>
      <c r="E200" s="165">
        <v>280</v>
      </c>
      <c r="F200" s="165">
        <v>34.659999999999997</v>
      </c>
      <c r="G200" s="197">
        <f t="shared" si="21"/>
        <v>44.65</v>
      </c>
      <c r="H200" s="198">
        <f t="shared" si="22"/>
        <v>9704.7999999999993</v>
      </c>
      <c r="I200" s="252">
        <f t="shared" si="23"/>
        <v>12502</v>
      </c>
      <c r="M200" s="5"/>
    </row>
    <row r="201" spans="1:13" x14ac:dyDescent="0.2">
      <c r="A201" s="231"/>
      <c r="B201" s="9"/>
      <c r="C201" s="7"/>
      <c r="D201" s="17"/>
      <c r="E201" s="23"/>
      <c r="F201" s="23"/>
      <c r="G201" s="23"/>
      <c r="H201" s="32"/>
      <c r="I201" s="232"/>
    </row>
    <row r="202" spans="1:13" x14ac:dyDescent="0.2">
      <c r="A202" s="233"/>
      <c r="B202" s="51" t="s">
        <v>126</v>
      </c>
      <c r="C202" s="52" t="s">
        <v>123</v>
      </c>
      <c r="D202" s="51"/>
      <c r="E202" s="54"/>
      <c r="F202" s="54"/>
      <c r="G202" s="54"/>
      <c r="H202" s="58">
        <f>SUM(H203:H208)</f>
        <v>34804.89</v>
      </c>
      <c r="I202" s="234">
        <f>SUM(I203:I208)</f>
        <v>44831.94</v>
      </c>
    </row>
    <row r="203" spans="1:13" ht="72" x14ac:dyDescent="0.2">
      <c r="A203" s="235" t="s">
        <v>1127</v>
      </c>
      <c r="B203" s="9" t="s">
        <v>313</v>
      </c>
      <c r="C203" s="7" t="s">
        <v>672</v>
      </c>
      <c r="D203" s="17" t="s">
        <v>17</v>
      </c>
      <c r="E203" s="23">
        <v>1643.12</v>
      </c>
      <c r="F203" s="165">
        <v>10.73</v>
      </c>
      <c r="G203" s="23">
        <f t="shared" ref="G203:G208" si="24">ROUND($F203*$D$235,2)</f>
        <v>13.82</v>
      </c>
      <c r="H203" s="32">
        <f t="shared" ref="H203:H208" si="25">ROUND($E203*$F203,2)</f>
        <v>17630.68</v>
      </c>
      <c r="I203" s="232">
        <f t="shared" ref="I203:I208" si="26">ROUND($E203*$G203,2)</f>
        <v>22707.919999999998</v>
      </c>
    </row>
    <row r="204" spans="1:13" ht="48" x14ac:dyDescent="0.2">
      <c r="A204" s="231" t="s">
        <v>1128</v>
      </c>
      <c r="B204" s="9" t="s">
        <v>378</v>
      </c>
      <c r="C204" s="7" t="s">
        <v>293</v>
      </c>
      <c r="D204" s="17" t="s">
        <v>17</v>
      </c>
      <c r="E204" s="23">
        <v>189.31</v>
      </c>
      <c r="F204" s="165">
        <v>20.29</v>
      </c>
      <c r="G204" s="23">
        <f t="shared" si="24"/>
        <v>26.14</v>
      </c>
      <c r="H204" s="32">
        <f t="shared" si="25"/>
        <v>3841.1</v>
      </c>
      <c r="I204" s="232">
        <f t="shared" si="26"/>
        <v>4948.5600000000004</v>
      </c>
    </row>
    <row r="205" spans="1:13" ht="72" x14ac:dyDescent="0.2">
      <c r="A205" s="236" t="s">
        <v>1129</v>
      </c>
      <c r="B205" s="16" t="s">
        <v>379</v>
      </c>
      <c r="C205" s="129" t="s">
        <v>294</v>
      </c>
      <c r="D205" s="130" t="s">
        <v>17</v>
      </c>
      <c r="E205" s="25">
        <v>189.31</v>
      </c>
      <c r="F205" s="333">
        <v>22.77</v>
      </c>
      <c r="G205" s="25">
        <f t="shared" si="24"/>
        <v>29.33</v>
      </c>
      <c r="H205" s="56">
        <f t="shared" si="25"/>
        <v>4310.59</v>
      </c>
      <c r="I205" s="334">
        <f t="shared" si="26"/>
        <v>5552.46</v>
      </c>
    </row>
    <row r="206" spans="1:13" ht="60" x14ac:dyDescent="0.2">
      <c r="A206" s="231" t="s">
        <v>1130</v>
      </c>
      <c r="B206" s="9" t="s">
        <v>380</v>
      </c>
      <c r="C206" s="7" t="s">
        <v>135</v>
      </c>
      <c r="D206" s="17" t="s">
        <v>17</v>
      </c>
      <c r="E206" s="23">
        <v>124.23</v>
      </c>
      <c r="F206" s="165">
        <v>15.87</v>
      </c>
      <c r="G206" s="23">
        <f t="shared" si="24"/>
        <v>20.440000000000001</v>
      </c>
      <c r="H206" s="32">
        <f t="shared" si="25"/>
        <v>1971.53</v>
      </c>
      <c r="I206" s="232">
        <f t="shared" si="26"/>
        <v>2539.2600000000002</v>
      </c>
    </row>
    <row r="207" spans="1:13" ht="48" x14ac:dyDescent="0.2">
      <c r="A207" s="231" t="s">
        <v>1131</v>
      </c>
      <c r="B207" s="9" t="s">
        <v>381</v>
      </c>
      <c r="C207" s="7" t="s">
        <v>295</v>
      </c>
      <c r="D207" s="17" t="s">
        <v>17</v>
      </c>
      <c r="E207" s="23">
        <v>333.23</v>
      </c>
      <c r="F207" s="165">
        <v>11.85</v>
      </c>
      <c r="G207" s="23">
        <f t="shared" si="24"/>
        <v>15.27</v>
      </c>
      <c r="H207" s="32">
        <f t="shared" si="25"/>
        <v>3948.78</v>
      </c>
      <c r="I207" s="232">
        <f t="shared" si="26"/>
        <v>5088.42</v>
      </c>
    </row>
    <row r="208" spans="1:13" ht="48" x14ac:dyDescent="0.2">
      <c r="A208" s="231" t="s">
        <v>1132</v>
      </c>
      <c r="B208" s="9" t="s">
        <v>382</v>
      </c>
      <c r="C208" s="7" t="s">
        <v>676</v>
      </c>
      <c r="D208" s="17" t="s">
        <v>45</v>
      </c>
      <c r="E208" s="23">
        <v>338.3</v>
      </c>
      <c r="F208" s="165">
        <v>9.17</v>
      </c>
      <c r="G208" s="23">
        <f t="shared" si="24"/>
        <v>11.81</v>
      </c>
      <c r="H208" s="32">
        <f t="shared" si="25"/>
        <v>3102.21</v>
      </c>
      <c r="I208" s="232">
        <f t="shared" si="26"/>
        <v>3995.32</v>
      </c>
    </row>
    <row r="209" spans="1:9" x14ac:dyDescent="0.2">
      <c r="A209" s="231"/>
      <c r="B209" s="9"/>
      <c r="C209" s="7"/>
      <c r="D209" s="17"/>
      <c r="E209" s="23"/>
      <c r="F209" s="23"/>
      <c r="G209" s="23"/>
      <c r="H209" s="32"/>
      <c r="I209" s="232"/>
    </row>
    <row r="210" spans="1:9" x14ac:dyDescent="0.2">
      <c r="A210" s="233"/>
      <c r="B210" s="51" t="s">
        <v>132</v>
      </c>
      <c r="C210" s="52" t="s">
        <v>127</v>
      </c>
      <c r="D210" s="51"/>
      <c r="E210" s="54"/>
      <c r="F210" s="54"/>
      <c r="G210" s="54"/>
      <c r="H210" s="58">
        <f>SUM(H211:H226)</f>
        <v>11783.32</v>
      </c>
      <c r="I210" s="234">
        <f>SUM(I211:I226)</f>
        <v>15179.359999999999</v>
      </c>
    </row>
    <row r="211" spans="1:9" ht="36" x14ac:dyDescent="0.2">
      <c r="A211" s="231" t="s">
        <v>1133</v>
      </c>
      <c r="B211" s="9" t="s">
        <v>314</v>
      </c>
      <c r="C211" s="7" t="s">
        <v>679</v>
      </c>
      <c r="D211" s="17" t="s">
        <v>16</v>
      </c>
      <c r="E211" s="23">
        <v>1</v>
      </c>
      <c r="F211" s="165">
        <v>180.28</v>
      </c>
      <c r="G211" s="23">
        <f t="shared" ref="G211:G226" si="27">ROUND($F211*$D$235,2)</f>
        <v>232.24</v>
      </c>
      <c r="H211" s="32">
        <f t="shared" ref="H211:H226" si="28">ROUND($E211*$F211,2)</f>
        <v>180.28</v>
      </c>
      <c r="I211" s="232">
        <f t="shared" ref="I211:I226" si="29">ROUND($E211*$G211,2)</f>
        <v>232.24</v>
      </c>
    </row>
    <row r="212" spans="1:9" ht="24" x14ac:dyDescent="0.2">
      <c r="A212" s="231" t="s">
        <v>1134</v>
      </c>
      <c r="B212" s="9" t="s">
        <v>1023</v>
      </c>
      <c r="C212" s="7" t="s">
        <v>145</v>
      </c>
      <c r="D212" s="17" t="s">
        <v>16</v>
      </c>
      <c r="E212" s="23">
        <v>1</v>
      </c>
      <c r="F212" s="165">
        <v>29.15</v>
      </c>
      <c r="G212" s="23">
        <f t="shared" si="27"/>
        <v>37.549999999999997</v>
      </c>
      <c r="H212" s="32">
        <f t="shared" si="28"/>
        <v>29.15</v>
      </c>
      <c r="I212" s="232">
        <f t="shared" si="29"/>
        <v>37.549999999999997</v>
      </c>
    </row>
    <row r="213" spans="1:9" ht="48" x14ac:dyDescent="0.2">
      <c r="A213" s="231" t="s">
        <v>1135</v>
      </c>
      <c r="B213" s="9" t="s">
        <v>1024</v>
      </c>
      <c r="C213" s="7" t="s">
        <v>681</v>
      </c>
      <c r="D213" s="17" t="s">
        <v>17</v>
      </c>
      <c r="E213" s="23">
        <v>4.8899999999999997</v>
      </c>
      <c r="F213" s="165">
        <v>531.1</v>
      </c>
      <c r="G213" s="23">
        <f t="shared" si="27"/>
        <v>684.16</v>
      </c>
      <c r="H213" s="32">
        <f t="shared" si="28"/>
        <v>2597.08</v>
      </c>
      <c r="I213" s="232">
        <f t="shared" si="29"/>
        <v>3345.54</v>
      </c>
    </row>
    <row r="214" spans="1:9" ht="36" x14ac:dyDescent="0.2">
      <c r="A214" s="231" t="s">
        <v>1136</v>
      </c>
      <c r="B214" s="9" t="s">
        <v>1025</v>
      </c>
      <c r="C214" s="7" t="s">
        <v>684</v>
      </c>
      <c r="D214" s="17" t="s">
        <v>45</v>
      </c>
      <c r="E214" s="23">
        <v>15.35</v>
      </c>
      <c r="F214" s="165">
        <v>36.94</v>
      </c>
      <c r="G214" s="23">
        <f t="shared" si="27"/>
        <v>47.59</v>
      </c>
      <c r="H214" s="32">
        <f t="shared" si="28"/>
        <v>567.03</v>
      </c>
      <c r="I214" s="232">
        <f t="shared" si="29"/>
        <v>730.51</v>
      </c>
    </row>
    <row r="215" spans="1:9" ht="36" x14ac:dyDescent="0.2">
      <c r="A215" s="231" t="s">
        <v>1137</v>
      </c>
      <c r="B215" s="9" t="s">
        <v>1150</v>
      </c>
      <c r="C215" s="7" t="s">
        <v>686</v>
      </c>
      <c r="D215" s="17" t="s">
        <v>45</v>
      </c>
      <c r="E215" s="23">
        <v>7.05</v>
      </c>
      <c r="F215" s="165">
        <v>92.63</v>
      </c>
      <c r="G215" s="23">
        <f t="shared" si="27"/>
        <v>119.33</v>
      </c>
      <c r="H215" s="32">
        <f t="shared" si="28"/>
        <v>653.04</v>
      </c>
      <c r="I215" s="232">
        <f t="shared" si="29"/>
        <v>841.28</v>
      </c>
    </row>
    <row r="216" spans="1:9" ht="60" x14ac:dyDescent="0.2">
      <c r="A216" s="231" t="s">
        <v>1138</v>
      </c>
      <c r="B216" s="9" t="s">
        <v>1026</v>
      </c>
      <c r="C216" s="7" t="s">
        <v>688</v>
      </c>
      <c r="D216" s="17" t="s">
        <v>16</v>
      </c>
      <c r="E216" s="23">
        <v>7</v>
      </c>
      <c r="F216" s="165">
        <v>231.27</v>
      </c>
      <c r="G216" s="23">
        <f t="shared" si="27"/>
        <v>297.92</v>
      </c>
      <c r="H216" s="32">
        <f t="shared" si="28"/>
        <v>1618.89</v>
      </c>
      <c r="I216" s="232">
        <f t="shared" si="29"/>
        <v>2085.44</v>
      </c>
    </row>
    <row r="217" spans="1:9" ht="84" x14ac:dyDescent="0.2">
      <c r="A217" s="231" t="s">
        <v>1139</v>
      </c>
      <c r="B217" s="9" t="s">
        <v>1027</v>
      </c>
      <c r="C217" s="7" t="s">
        <v>296</v>
      </c>
      <c r="D217" s="17" t="s">
        <v>16</v>
      </c>
      <c r="E217" s="23">
        <v>8</v>
      </c>
      <c r="F217" s="165">
        <v>295.82</v>
      </c>
      <c r="G217" s="23">
        <f t="shared" si="27"/>
        <v>381.08</v>
      </c>
      <c r="H217" s="32">
        <f t="shared" si="28"/>
        <v>2366.56</v>
      </c>
      <c r="I217" s="232">
        <f t="shared" si="29"/>
        <v>3048.64</v>
      </c>
    </row>
    <row r="218" spans="1:9" ht="48" x14ac:dyDescent="0.2">
      <c r="A218" s="231" t="s">
        <v>1140</v>
      </c>
      <c r="B218" s="9" t="s">
        <v>1028</v>
      </c>
      <c r="C218" s="7" t="s">
        <v>690</v>
      </c>
      <c r="D218" s="17" t="s">
        <v>16</v>
      </c>
      <c r="E218" s="23">
        <v>2</v>
      </c>
      <c r="F218" s="165">
        <v>523</v>
      </c>
      <c r="G218" s="23">
        <f t="shared" si="27"/>
        <v>673.73</v>
      </c>
      <c r="H218" s="32">
        <f t="shared" si="28"/>
        <v>1046</v>
      </c>
      <c r="I218" s="232">
        <f t="shared" si="29"/>
        <v>1347.46</v>
      </c>
    </row>
    <row r="219" spans="1:9" ht="36" x14ac:dyDescent="0.2">
      <c r="A219" s="231" t="s">
        <v>1141</v>
      </c>
      <c r="B219" s="9" t="s">
        <v>1029</v>
      </c>
      <c r="C219" s="7" t="s">
        <v>692</v>
      </c>
      <c r="D219" s="17" t="s">
        <v>16</v>
      </c>
      <c r="E219" s="23">
        <v>2</v>
      </c>
      <c r="F219" s="165">
        <v>56.07</v>
      </c>
      <c r="G219" s="23">
        <f t="shared" si="27"/>
        <v>72.23</v>
      </c>
      <c r="H219" s="32">
        <f t="shared" si="28"/>
        <v>112.14</v>
      </c>
      <c r="I219" s="232">
        <f t="shared" si="29"/>
        <v>144.46</v>
      </c>
    </row>
    <row r="220" spans="1:9" ht="36" x14ac:dyDescent="0.2">
      <c r="A220" s="231">
        <v>86903</v>
      </c>
      <c r="B220" s="9" t="s">
        <v>1030</v>
      </c>
      <c r="C220" s="7" t="s">
        <v>693</v>
      </c>
      <c r="D220" s="17" t="s">
        <v>16</v>
      </c>
      <c r="E220" s="23">
        <v>1</v>
      </c>
      <c r="F220" s="165">
        <v>327.48</v>
      </c>
      <c r="G220" s="23">
        <f t="shared" si="27"/>
        <v>421.86</v>
      </c>
      <c r="H220" s="32">
        <f t="shared" si="28"/>
        <v>327.48</v>
      </c>
      <c r="I220" s="232">
        <f t="shared" si="29"/>
        <v>421.86</v>
      </c>
    </row>
    <row r="221" spans="1:9" ht="60" x14ac:dyDescent="0.2">
      <c r="A221" s="231" t="s">
        <v>1142</v>
      </c>
      <c r="B221" s="9" t="s">
        <v>1031</v>
      </c>
      <c r="C221" s="7" t="s">
        <v>694</v>
      </c>
      <c r="D221" s="17" t="s">
        <v>16</v>
      </c>
      <c r="E221" s="23">
        <v>1</v>
      </c>
      <c r="F221" s="165">
        <v>439.37</v>
      </c>
      <c r="G221" s="23">
        <f t="shared" si="27"/>
        <v>566</v>
      </c>
      <c r="H221" s="32">
        <f t="shared" si="28"/>
        <v>439.37</v>
      </c>
      <c r="I221" s="232">
        <f t="shared" si="29"/>
        <v>566</v>
      </c>
    </row>
    <row r="222" spans="1:9" ht="48" x14ac:dyDescent="0.2">
      <c r="A222" s="231" t="s">
        <v>1143</v>
      </c>
      <c r="B222" s="9" t="s">
        <v>1032</v>
      </c>
      <c r="C222" s="7" t="s">
        <v>297</v>
      </c>
      <c r="D222" s="17" t="s">
        <v>16</v>
      </c>
      <c r="E222" s="23">
        <v>1</v>
      </c>
      <c r="F222" s="165">
        <v>378.57</v>
      </c>
      <c r="G222" s="23">
        <f t="shared" si="27"/>
        <v>487.67</v>
      </c>
      <c r="H222" s="32">
        <f t="shared" si="28"/>
        <v>378.57</v>
      </c>
      <c r="I222" s="232">
        <f t="shared" si="29"/>
        <v>487.67</v>
      </c>
    </row>
    <row r="223" spans="1:9" ht="36" x14ac:dyDescent="0.2">
      <c r="A223" s="231" t="s">
        <v>1144</v>
      </c>
      <c r="B223" s="9" t="s">
        <v>1033</v>
      </c>
      <c r="C223" s="7" t="s">
        <v>147</v>
      </c>
      <c r="D223" s="17" t="s">
        <v>16</v>
      </c>
      <c r="E223" s="23">
        <v>4</v>
      </c>
      <c r="F223" s="165">
        <v>102.77</v>
      </c>
      <c r="G223" s="23">
        <f t="shared" si="27"/>
        <v>132.38999999999999</v>
      </c>
      <c r="H223" s="32">
        <f t="shared" si="28"/>
        <v>411.08</v>
      </c>
      <c r="I223" s="232">
        <f t="shared" si="29"/>
        <v>529.55999999999995</v>
      </c>
    </row>
    <row r="224" spans="1:9" ht="36" x14ac:dyDescent="0.2">
      <c r="A224" s="236" t="s">
        <v>1145</v>
      </c>
      <c r="B224" s="16" t="s">
        <v>1034</v>
      </c>
      <c r="C224" s="129" t="s">
        <v>695</v>
      </c>
      <c r="D224" s="130" t="s">
        <v>16</v>
      </c>
      <c r="E224" s="25">
        <v>2</v>
      </c>
      <c r="F224" s="333">
        <v>122.94</v>
      </c>
      <c r="G224" s="25">
        <f t="shared" si="27"/>
        <v>158.37</v>
      </c>
      <c r="H224" s="56">
        <f t="shared" si="28"/>
        <v>245.88</v>
      </c>
      <c r="I224" s="334">
        <f t="shared" si="29"/>
        <v>316.74</v>
      </c>
    </row>
    <row r="225" spans="1:14" ht="48" x14ac:dyDescent="0.2">
      <c r="A225" s="231" t="s">
        <v>1146</v>
      </c>
      <c r="B225" s="9" t="s">
        <v>1035</v>
      </c>
      <c r="C225" s="7" t="s">
        <v>697</v>
      </c>
      <c r="D225" s="17" t="s">
        <v>16</v>
      </c>
      <c r="E225" s="23">
        <v>0.88</v>
      </c>
      <c r="F225" s="165">
        <v>578.95000000000005</v>
      </c>
      <c r="G225" s="23">
        <f t="shared" si="27"/>
        <v>745.8</v>
      </c>
      <c r="H225" s="32">
        <f t="shared" si="28"/>
        <v>509.48</v>
      </c>
      <c r="I225" s="232">
        <f t="shared" si="29"/>
        <v>656.3</v>
      </c>
    </row>
    <row r="226" spans="1:14" ht="48" x14ac:dyDescent="0.2">
      <c r="A226" s="231" t="s">
        <v>1147</v>
      </c>
      <c r="B226" s="9" t="s">
        <v>1036</v>
      </c>
      <c r="C226" s="7" t="s">
        <v>143</v>
      </c>
      <c r="D226" s="17" t="s">
        <v>16</v>
      </c>
      <c r="E226" s="23">
        <v>3</v>
      </c>
      <c r="F226" s="165">
        <v>100.43</v>
      </c>
      <c r="G226" s="23">
        <f t="shared" si="27"/>
        <v>129.37</v>
      </c>
      <c r="H226" s="32">
        <f t="shared" si="28"/>
        <v>301.29000000000002</v>
      </c>
      <c r="I226" s="232">
        <f t="shared" si="29"/>
        <v>388.11</v>
      </c>
    </row>
    <row r="227" spans="1:14" x14ac:dyDescent="0.2">
      <c r="A227" s="231"/>
      <c r="B227" s="9"/>
      <c r="C227" s="7"/>
      <c r="D227" s="17"/>
      <c r="E227" s="23"/>
      <c r="F227" s="23"/>
      <c r="G227" s="23"/>
      <c r="H227" s="32"/>
      <c r="I227" s="232"/>
    </row>
    <row r="228" spans="1:14" x14ac:dyDescent="0.2">
      <c r="A228" s="233"/>
      <c r="B228" s="51" t="s">
        <v>247</v>
      </c>
      <c r="C228" s="52" t="s">
        <v>133</v>
      </c>
      <c r="D228" s="51"/>
      <c r="E228" s="54"/>
      <c r="F228" s="54"/>
      <c r="G228" s="54"/>
      <c r="H228" s="58">
        <f>SUM(H229)</f>
        <v>80052.2</v>
      </c>
      <c r="I228" s="234">
        <f>SUM(I229)</f>
        <v>103123.24</v>
      </c>
    </row>
    <row r="229" spans="1:14" ht="204" x14ac:dyDescent="0.2">
      <c r="A229" s="231" t="s">
        <v>1148</v>
      </c>
      <c r="B229" s="9" t="s">
        <v>315</v>
      </c>
      <c r="C229" s="7" t="s">
        <v>298</v>
      </c>
      <c r="D229" s="17" t="s">
        <v>16</v>
      </c>
      <c r="E229" s="23">
        <v>1</v>
      </c>
      <c r="F229" s="165">
        <v>80052.2</v>
      </c>
      <c r="G229" s="23">
        <f>ROUND($F229*$D$235,2)</f>
        <v>103123.24</v>
      </c>
      <c r="H229" s="32">
        <f>ROUND($E229*$F229,2)</f>
        <v>80052.2</v>
      </c>
      <c r="I229" s="232">
        <f>ROUND($E229*$G229,2)</f>
        <v>103123.24</v>
      </c>
      <c r="N229" s="5"/>
    </row>
    <row r="230" spans="1:14" x14ac:dyDescent="0.2">
      <c r="A230" s="231"/>
      <c r="B230" s="9"/>
      <c r="C230" s="22"/>
      <c r="D230" s="22"/>
      <c r="E230" s="23"/>
      <c r="F230" s="23"/>
      <c r="G230" s="23"/>
      <c r="H230" s="32"/>
      <c r="I230" s="232"/>
    </row>
    <row r="231" spans="1:14" ht="15" customHeight="1" x14ac:dyDescent="0.2">
      <c r="A231" s="402" t="s">
        <v>467</v>
      </c>
      <c r="B231" s="403"/>
      <c r="C231" s="403"/>
      <c r="D231" s="403"/>
      <c r="E231" s="403"/>
      <c r="F231" s="403"/>
      <c r="G231" s="404"/>
      <c r="H231" s="55">
        <f>SUM(H16,H20,H40,H49,H54,H59,H64,H70,H91,H97,H110,H117,H202,H210,H228,)</f>
        <v>642669.8899999999</v>
      </c>
      <c r="I231" s="257">
        <f>SUM(I16,I20,I40,I49,I54,I59,I64,I70,I91,I97,I110,I117,I202,I210,I228)</f>
        <v>878241.46999999986</v>
      </c>
    </row>
    <row r="232" spans="1:14" x14ac:dyDescent="0.2">
      <c r="A232" s="258"/>
      <c r="I232" s="259"/>
    </row>
    <row r="233" spans="1:14" x14ac:dyDescent="0.2">
      <c r="A233" s="258"/>
      <c r="I233" s="259"/>
    </row>
    <row r="234" spans="1:14" x14ac:dyDescent="0.2">
      <c r="A234" s="258"/>
      <c r="I234" s="259"/>
    </row>
    <row r="235" spans="1:14" x14ac:dyDescent="0.2">
      <c r="A235" s="258"/>
      <c r="C235" s="61" t="s">
        <v>1149</v>
      </c>
      <c r="D235" s="61">
        <v>1.2882</v>
      </c>
      <c r="I235" s="259"/>
    </row>
    <row r="236" spans="1:14" x14ac:dyDescent="0.2">
      <c r="A236" s="258"/>
      <c r="I236" s="259"/>
    </row>
    <row r="237" spans="1:14" x14ac:dyDescent="0.2">
      <c r="A237" s="258"/>
      <c r="I237" s="259"/>
    </row>
    <row r="238" spans="1:14" x14ac:dyDescent="0.2">
      <c r="A238" s="258"/>
      <c r="I238" s="259"/>
    </row>
    <row r="239" spans="1:14" x14ac:dyDescent="0.2">
      <c r="A239" s="258"/>
      <c r="I239" s="259"/>
    </row>
    <row r="240" spans="1:14" x14ac:dyDescent="0.2">
      <c r="A240" s="258"/>
      <c r="I240" s="259"/>
    </row>
    <row r="241" spans="1:9" x14ac:dyDescent="0.2">
      <c r="A241" s="258"/>
      <c r="I241" s="259"/>
    </row>
    <row r="242" spans="1:9" x14ac:dyDescent="0.2">
      <c r="A242" s="258"/>
      <c r="I242" s="259"/>
    </row>
    <row r="243" spans="1:9" x14ac:dyDescent="0.2">
      <c r="A243" s="258"/>
      <c r="I243" s="259"/>
    </row>
    <row r="244" spans="1:9" x14ac:dyDescent="0.2">
      <c r="A244" s="258"/>
      <c r="I244" s="259"/>
    </row>
    <row r="245" spans="1:9" x14ac:dyDescent="0.2">
      <c r="A245" s="258"/>
      <c r="I245" s="259"/>
    </row>
    <row r="246" spans="1:9" x14ac:dyDescent="0.2">
      <c r="A246" s="258"/>
      <c r="I246" s="259"/>
    </row>
    <row r="247" spans="1:9" x14ac:dyDescent="0.2">
      <c r="A247" s="258"/>
      <c r="I247" s="259"/>
    </row>
    <row r="248" spans="1:9" x14ac:dyDescent="0.2">
      <c r="A248" s="258"/>
      <c r="I248" s="259"/>
    </row>
    <row r="249" spans="1:9" x14ac:dyDescent="0.2">
      <c r="A249" s="258"/>
      <c r="I249" s="259"/>
    </row>
    <row r="250" spans="1:9" x14ac:dyDescent="0.2">
      <c r="A250" s="258"/>
      <c r="I250" s="259"/>
    </row>
    <row r="251" spans="1:9" x14ac:dyDescent="0.2">
      <c r="A251" s="258"/>
      <c r="I251" s="259"/>
    </row>
    <row r="252" spans="1:9" x14ac:dyDescent="0.2">
      <c r="A252" s="258"/>
      <c r="I252" s="259"/>
    </row>
    <row r="253" spans="1:9" x14ac:dyDescent="0.2">
      <c r="A253" s="258"/>
      <c r="I253" s="259"/>
    </row>
    <row r="254" spans="1:9" x14ac:dyDescent="0.2">
      <c r="A254" s="258"/>
      <c r="I254" s="259"/>
    </row>
    <row r="255" spans="1:9" x14ac:dyDescent="0.2">
      <c r="A255" s="258"/>
      <c r="I255" s="259"/>
    </row>
    <row r="256" spans="1:9" x14ac:dyDescent="0.2">
      <c r="A256" s="258"/>
      <c r="I256" s="259"/>
    </row>
    <row r="257" spans="1:9" x14ac:dyDescent="0.2">
      <c r="A257" s="258"/>
      <c r="I257" s="259"/>
    </row>
    <row r="258" spans="1:9" x14ac:dyDescent="0.2">
      <c r="A258" s="258"/>
      <c r="I258" s="259"/>
    </row>
    <row r="259" spans="1:9" x14ac:dyDescent="0.2">
      <c r="A259" s="258"/>
      <c r="I259" s="259"/>
    </row>
    <row r="260" spans="1:9" x14ac:dyDescent="0.2">
      <c r="A260" s="258"/>
      <c r="I260" s="259"/>
    </row>
    <row r="261" spans="1:9" x14ac:dyDescent="0.2">
      <c r="A261" s="258"/>
      <c r="I261" s="259"/>
    </row>
    <row r="262" spans="1:9" x14ac:dyDescent="0.2">
      <c r="A262" s="258"/>
      <c r="I262" s="259"/>
    </row>
    <row r="263" spans="1:9" x14ac:dyDescent="0.2">
      <c r="A263" s="258"/>
      <c r="I263" s="259"/>
    </row>
    <row r="264" spans="1:9" x14ac:dyDescent="0.2">
      <c r="A264" s="258"/>
      <c r="I264" s="259"/>
    </row>
    <row r="265" spans="1:9" x14ac:dyDescent="0.2">
      <c r="A265" s="258"/>
      <c r="I265" s="259"/>
    </row>
    <row r="266" spans="1:9" x14ac:dyDescent="0.2">
      <c r="A266" s="258"/>
      <c r="I266" s="259"/>
    </row>
    <row r="267" spans="1:9" x14ac:dyDescent="0.2">
      <c r="A267" s="258"/>
      <c r="I267" s="259"/>
    </row>
    <row r="268" spans="1:9" ht="13.5" thickBot="1" x14ac:dyDescent="0.25">
      <c r="A268" s="260"/>
      <c r="B268" s="261"/>
      <c r="C268" s="261"/>
      <c r="D268" s="261"/>
      <c r="E268" s="262"/>
      <c r="F268" s="262"/>
      <c r="G268" s="262"/>
      <c r="H268" s="263"/>
      <c r="I268" s="264"/>
    </row>
  </sheetData>
  <mergeCells count="6">
    <mergeCell ref="G13:H13"/>
    <mergeCell ref="A11:F11"/>
    <mergeCell ref="A12:F12"/>
    <mergeCell ref="G11:H11"/>
    <mergeCell ref="A231:G231"/>
    <mergeCell ref="A14:I14"/>
  </mergeCells>
  <phoneticPr fontId="38" type="noConversion"/>
  <hyperlinks>
    <hyperlink ref="G195:G196" r:id="rId1" display="DATA:Setembro/2010"/>
    <hyperlink ref="G196" r:id="rId2" display="DATA:Setembro/2010"/>
    <hyperlink ref="G197" r:id="rId3" display="DATA:Setembro/2010"/>
    <hyperlink ref="G198" r:id="rId4" display="DATA:Setembro/2010"/>
    <hyperlink ref="G199" r:id="rId5" display="DATA:Setembro/2010"/>
    <hyperlink ref="G200" r:id="rId6" display="DATA:Setembro/2010"/>
  </hyperlinks>
  <printOptions horizontalCentered="1"/>
  <pageMargins left="0.59055118110236227" right="0.59055118110236227" top="0.78740157480314965" bottom="0.78740157480314965" header="0.31496062992125984" footer="0.31496062992125984"/>
  <pageSetup paperSize="9" scale="71" fitToHeight="0" orientation="portrait" r:id="rId7"/>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pageSetUpPr fitToPage="1"/>
  </sheetPr>
  <dimension ref="A1:P1513"/>
  <sheetViews>
    <sheetView view="pageBreakPreview" zoomScale="90" zoomScaleNormal="60" zoomScaleSheetLayoutView="90" workbookViewId="0">
      <pane ySplit="15" topLeftCell="A73" activePane="bottomLeft" state="frozen"/>
      <selection pane="bottomLeft" activeCell="C9" sqref="C9"/>
    </sheetView>
  </sheetViews>
  <sheetFormatPr defaultRowHeight="14.25" x14ac:dyDescent="0.2"/>
  <cols>
    <col min="1" max="1" width="14.5703125" style="4" customWidth="1"/>
    <col min="2" max="2" width="8.28515625" style="4" customWidth="1"/>
    <col min="3" max="3" width="44.28515625" style="3" bestFit="1" customWidth="1"/>
    <col min="4" max="12" width="9.140625" style="1"/>
    <col min="13" max="13" width="10.140625" style="1" bestFit="1" customWidth="1"/>
    <col min="14" max="16384" width="9.140625" style="1"/>
  </cols>
  <sheetData>
    <row r="1" spans="1:13" x14ac:dyDescent="0.2">
      <c r="A1" s="222"/>
      <c r="B1" s="223"/>
      <c r="C1" s="223"/>
      <c r="D1" s="223"/>
      <c r="E1" s="223"/>
      <c r="F1" s="223"/>
      <c r="G1" s="223"/>
      <c r="H1" s="224"/>
      <c r="I1" s="265"/>
      <c r="J1" s="265"/>
      <c r="K1" s="265"/>
      <c r="L1" s="265"/>
      <c r="M1" s="266"/>
    </row>
    <row r="2" spans="1:13" x14ac:dyDescent="0.2">
      <c r="A2" s="226"/>
      <c r="B2" s="137"/>
      <c r="C2" s="137"/>
      <c r="D2" s="137"/>
      <c r="E2" s="137"/>
      <c r="F2" s="137"/>
      <c r="G2" s="137"/>
      <c r="H2" s="317"/>
      <c r="I2" s="139"/>
      <c r="J2" s="139"/>
      <c r="K2" s="139"/>
      <c r="L2" s="139"/>
      <c r="M2" s="295"/>
    </row>
    <row r="3" spans="1:13" x14ac:dyDescent="0.2">
      <c r="A3" s="226"/>
      <c r="B3" s="137"/>
      <c r="C3" s="137"/>
      <c r="D3" s="137"/>
      <c r="E3" s="137"/>
      <c r="F3" s="137"/>
      <c r="G3" s="137"/>
      <c r="H3" s="317"/>
      <c r="I3" s="139"/>
      <c r="J3" s="139"/>
      <c r="K3" s="139"/>
      <c r="L3" s="139"/>
      <c r="M3" s="295"/>
    </row>
    <row r="4" spans="1:13" x14ac:dyDescent="0.2">
      <c r="A4" s="226"/>
      <c r="B4" s="137"/>
      <c r="C4" s="137"/>
      <c r="D4" s="137"/>
      <c r="E4" s="137"/>
      <c r="F4" s="137"/>
      <c r="G4" s="137"/>
      <c r="H4" s="317"/>
      <c r="I4" s="139"/>
      <c r="J4" s="139"/>
      <c r="K4" s="139"/>
      <c r="L4" s="139"/>
      <c r="M4" s="295"/>
    </row>
    <row r="5" spans="1:13" x14ac:dyDescent="0.2">
      <c r="A5" s="226"/>
      <c r="B5" s="137"/>
      <c r="C5" s="137"/>
      <c r="D5" s="137"/>
      <c r="E5" s="137"/>
      <c r="F5" s="137"/>
      <c r="G5" s="137"/>
      <c r="H5" s="317"/>
      <c r="I5" s="211"/>
      <c r="J5" s="211"/>
      <c r="K5" s="211"/>
      <c r="L5" s="211"/>
      <c r="M5" s="267"/>
    </row>
    <row r="6" spans="1:13" x14ac:dyDescent="0.2">
      <c r="A6" s="226"/>
      <c r="B6" s="137"/>
      <c r="C6" s="137"/>
      <c r="D6" s="137"/>
      <c r="E6" s="137"/>
      <c r="F6" s="137"/>
      <c r="G6" s="137"/>
      <c r="H6" s="317"/>
      <c r="I6" s="211"/>
      <c r="J6" s="211"/>
      <c r="K6" s="211"/>
      <c r="L6" s="211"/>
      <c r="M6" s="267"/>
    </row>
    <row r="7" spans="1:13" x14ac:dyDescent="0.2">
      <c r="A7" s="226"/>
      <c r="B7" s="137"/>
      <c r="C7" s="137"/>
      <c r="D7" s="137"/>
      <c r="E7" s="137"/>
      <c r="F7" s="137"/>
      <c r="G7" s="137"/>
      <c r="H7" s="317"/>
      <c r="I7" s="211"/>
      <c r="J7" s="211"/>
      <c r="K7" s="211"/>
      <c r="L7" s="211"/>
      <c r="M7" s="267"/>
    </row>
    <row r="8" spans="1:13" x14ac:dyDescent="0.2">
      <c r="A8" s="226"/>
      <c r="B8" s="137"/>
      <c r="C8" s="137"/>
      <c r="D8" s="137"/>
      <c r="E8" s="137"/>
      <c r="F8" s="137"/>
      <c r="G8" s="137"/>
      <c r="H8" s="317"/>
      <c r="I8" s="211"/>
      <c r="J8" s="211"/>
      <c r="K8" s="211"/>
      <c r="L8" s="211"/>
      <c r="M8" s="267"/>
    </row>
    <row r="9" spans="1:13" x14ac:dyDescent="0.2">
      <c r="A9" s="226"/>
      <c r="B9" s="137"/>
      <c r="C9" s="137"/>
      <c r="D9" s="137"/>
      <c r="E9" s="137"/>
      <c r="F9" s="137"/>
      <c r="G9" s="137"/>
      <c r="H9" s="317"/>
      <c r="I9" s="317"/>
      <c r="J9" s="211"/>
      <c r="K9" s="211"/>
      <c r="L9" s="211"/>
      <c r="M9" s="267"/>
    </row>
    <row r="10" spans="1:13" x14ac:dyDescent="0.2">
      <c r="A10" s="226"/>
      <c r="B10" s="137"/>
      <c r="C10" s="137"/>
      <c r="D10" s="137"/>
      <c r="E10" s="137"/>
      <c r="F10" s="137"/>
      <c r="G10" s="137"/>
      <c r="H10" s="317"/>
      <c r="I10" s="317"/>
      <c r="J10" s="211"/>
      <c r="K10" s="211"/>
      <c r="L10" s="211"/>
      <c r="M10" s="267"/>
    </row>
    <row r="11" spans="1:13" ht="15.75" x14ac:dyDescent="0.2">
      <c r="A11" s="400" t="s">
        <v>1168</v>
      </c>
      <c r="B11" s="401"/>
      <c r="C11" s="401"/>
      <c r="D11" s="401"/>
      <c r="E11" s="401"/>
      <c r="F11" s="401"/>
      <c r="G11" s="401"/>
      <c r="H11" s="401"/>
      <c r="I11" s="326"/>
      <c r="J11" s="211"/>
      <c r="K11" s="211"/>
      <c r="L11" s="211"/>
      <c r="M11" s="267"/>
    </row>
    <row r="12" spans="1:13" ht="15.75" x14ac:dyDescent="0.2">
      <c r="A12" s="400" t="s">
        <v>1167</v>
      </c>
      <c r="B12" s="401"/>
      <c r="C12" s="401"/>
      <c r="D12" s="401"/>
      <c r="E12" s="401"/>
      <c r="F12" s="401"/>
      <c r="G12" s="324"/>
      <c r="H12" s="324"/>
      <c r="I12" s="320"/>
      <c r="J12" s="211"/>
      <c r="K12" s="211"/>
      <c r="L12" s="211"/>
      <c r="M12" s="267"/>
    </row>
    <row r="13" spans="1:13" ht="15.75" x14ac:dyDescent="0.2">
      <c r="A13" s="322"/>
      <c r="B13" s="323"/>
      <c r="C13" s="323"/>
      <c r="D13" s="323"/>
      <c r="E13" s="323"/>
      <c r="F13" s="323"/>
      <c r="G13" s="399"/>
      <c r="H13" s="399"/>
      <c r="I13" s="326"/>
      <c r="J13" s="211"/>
      <c r="K13" s="399" t="s">
        <v>1169</v>
      </c>
      <c r="L13" s="399"/>
      <c r="M13" s="325">
        <v>43983</v>
      </c>
    </row>
    <row r="14" spans="1:13" ht="16.5" customHeight="1" thickBot="1" x14ac:dyDescent="0.25">
      <c r="A14" s="405" t="s">
        <v>1166</v>
      </c>
      <c r="B14" s="406"/>
      <c r="C14" s="406"/>
      <c r="D14" s="406"/>
      <c r="E14" s="406"/>
      <c r="F14" s="406"/>
      <c r="G14" s="406"/>
      <c r="H14" s="406"/>
      <c r="I14" s="406"/>
      <c r="J14" s="406"/>
      <c r="K14" s="406"/>
      <c r="L14" s="406"/>
      <c r="M14" s="407"/>
    </row>
    <row r="15" spans="1:13" ht="27" thickTop="1" thickBot="1" x14ac:dyDescent="0.25">
      <c r="A15" s="268" t="s">
        <v>316</v>
      </c>
      <c r="B15" s="140" t="s">
        <v>0</v>
      </c>
      <c r="C15" s="140" t="s">
        <v>18</v>
      </c>
      <c r="D15" s="140" t="s">
        <v>19</v>
      </c>
      <c r="E15" s="140" t="s">
        <v>20</v>
      </c>
      <c r="F15" s="140" t="s">
        <v>21</v>
      </c>
      <c r="G15" s="140" t="s">
        <v>22</v>
      </c>
      <c r="H15" s="140" t="s">
        <v>23</v>
      </c>
      <c r="I15" s="140" t="s">
        <v>24</v>
      </c>
      <c r="J15" s="140" t="s">
        <v>25</v>
      </c>
      <c r="K15" s="140" t="s">
        <v>26</v>
      </c>
      <c r="L15" s="140" t="s">
        <v>27</v>
      </c>
      <c r="M15" s="269" t="s">
        <v>28</v>
      </c>
    </row>
    <row r="16" spans="1:13" ht="15" thickTop="1" x14ac:dyDescent="0.2">
      <c r="A16" s="270"/>
      <c r="B16" s="26" t="s">
        <v>2</v>
      </c>
      <c r="C16" s="27" t="s">
        <v>3</v>
      </c>
      <c r="D16" s="28"/>
      <c r="E16" s="28"/>
      <c r="F16" s="28"/>
      <c r="G16" s="28"/>
      <c r="H16" s="28"/>
      <c r="I16" s="28"/>
      <c r="J16" s="28"/>
      <c r="K16" s="28"/>
      <c r="L16" s="28"/>
      <c r="M16" s="271"/>
    </row>
    <row r="17" spans="1:13" ht="36" x14ac:dyDescent="0.2">
      <c r="A17" s="231" t="s">
        <v>29</v>
      </c>
      <c r="B17" s="9" t="s">
        <v>300</v>
      </c>
      <c r="C17" s="7" t="s">
        <v>265</v>
      </c>
      <c r="D17" s="17" t="s">
        <v>17</v>
      </c>
      <c r="E17" s="218"/>
      <c r="F17" s="218"/>
      <c r="G17" s="218"/>
      <c r="H17" s="218"/>
      <c r="I17" s="218"/>
      <c r="J17" s="218"/>
      <c r="K17" s="218"/>
      <c r="L17" s="218"/>
      <c r="M17" s="272">
        <f>SUM(M18)</f>
        <v>3</v>
      </c>
    </row>
    <row r="18" spans="1:13" x14ac:dyDescent="0.2">
      <c r="A18" s="231"/>
      <c r="B18" s="9"/>
      <c r="C18" s="7"/>
      <c r="D18" s="8"/>
      <c r="E18" s="218"/>
      <c r="F18" s="218">
        <v>2.5</v>
      </c>
      <c r="G18" s="218"/>
      <c r="H18" s="218">
        <v>1.2</v>
      </c>
      <c r="I18" s="218"/>
      <c r="J18" s="218">
        <f>F18*H18</f>
        <v>3</v>
      </c>
      <c r="K18" s="218"/>
      <c r="L18" s="218"/>
      <c r="M18" s="273">
        <f>F18*H18</f>
        <v>3</v>
      </c>
    </row>
    <row r="19" spans="1:13" x14ac:dyDescent="0.2">
      <c r="A19" s="231"/>
      <c r="B19" s="9"/>
      <c r="C19" s="7"/>
      <c r="D19" s="8"/>
      <c r="E19" s="218"/>
      <c r="F19" s="218"/>
      <c r="G19" s="218"/>
      <c r="H19" s="218"/>
      <c r="I19" s="218"/>
      <c r="J19" s="218"/>
      <c r="K19" s="218"/>
      <c r="L19" s="218"/>
      <c r="M19" s="273"/>
    </row>
    <row r="20" spans="1:13" ht="60" x14ac:dyDescent="0.2">
      <c r="A20" s="231" t="s">
        <v>30</v>
      </c>
      <c r="B20" s="9" t="s">
        <v>301</v>
      </c>
      <c r="C20" s="7" t="s">
        <v>266</v>
      </c>
      <c r="D20" s="17" t="s">
        <v>17</v>
      </c>
      <c r="E20" s="218"/>
      <c r="F20" s="218"/>
      <c r="G20" s="218"/>
      <c r="H20" s="218"/>
      <c r="I20" s="218"/>
      <c r="J20" s="218"/>
      <c r="K20" s="218"/>
      <c r="L20" s="218"/>
      <c r="M20" s="272">
        <f>SUM(M21)</f>
        <v>61</v>
      </c>
    </row>
    <row r="21" spans="1:13" x14ac:dyDescent="0.2">
      <c r="A21" s="231"/>
      <c r="B21" s="9"/>
      <c r="C21" s="7" t="s">
        <v>299</v>
      </c>
      <c r="D21" s="10"/>
      <c r="E21" s="218"/>
      <c r="F21" s="218"/>
      <c r="G21" s="218">
        <v>30.5</v>
      </c>
      <c r="H21" s="218"/>
      <c r="I21" s="218">
        <v>2</v>
      </c>
      <c r="J21" s="218"/>
      <c r="K21" s="218"/>
      <c r="L21" s="218"/>
      <c r="M21" s="273">
        <f>G21*I21</f>
        <v>61</v>
      </c>
    </row>
    <row r="22" spans="1:13" x14ac:dyDescent="0.2">
      <c r="A22" s="231"/>
      <c r="B22" s="9"/>
      <c r="C22" s="11"/>
      <c r="D22" s="10"/>
      <c r="E22" s="218"/>
      <c r="F22" s="218"/>
      <c r="G22" s="218"/>
      <c r="H22" s="218"/>
      <c r="I22" s="218"/>
      <c r="J22" s="218"/>
      <c r="K22" s="218"/>
      <c r="L22" s="218"/>
      <c r="M22" s="273"/>
    </row>
    <row r="23" spans="1:13" x14ac:dyDescent="0.2">
      <c r="A23" s="274"/>
      <c r="B23" s="29" t="s">
        <v>4</v>
      </c>
      <c r="C23" s="30" t="s">
        <v>5</v>
      </c>
      <c r="D23" s="31"/>
      <c r="E23" s="31"/>
      <c r="F23" s="31"/>
      <c r="G23" s="31"/>
      <c r="H23" s="31"/>
      <c r="I23" s="31"/>
      <c r="J23" s="31"/>
      <c r="K23" s="31"/>
      <c r="L23" s="31"/>
      <c r="M23" s="275"/>
    </row>
    <row r="24" spans="1:13" ht="24" x14ac:dyDescent="0.2">
      <c r="A24" s="235" t="s">
        <v>31</v>
      </c>
      <c r="B24" s="9" t="s">
        <v>302</v>
      </c>
      <c r="C24" s="7" t="s">
        <v>32</v>
      </c>
      <c r="D24" s="17" t="s">
        <v>17</v>
      </c>
      <c r="E24" s="218"/>
      <c r="F24" s="218"/>
      <c r="G24" s="218"/>
      <c r="H24" s="218"/>
      <c r="I24" s="218"/>
      <c r="J24" s="218"/>
      <c r="K24" s="218"/>
      <c r="L24" s="218"/>
      <c r="M24" s="272">
        <f>SUM(M26:M33)</f>
        <v>3.2921999999999998</v>
      </c>
    </row>
    <row r="25" spans="1:13" x14ac:dyDescent="0.2">
      <c r="A25" s="231"/>
      <c r="B25" s="9"/>
      <c r="C25" s="7" t="s">
        <v>150</v>
      </c>
      <c r="D25" s="8"/>
      <c r="E25" s="218"/>
      <c r="F25" s="218"/>
      <c r="G25" s="218"/>
      <c r="H25" s="218"/>
      <c r="I25" s="218"/>
      <c r="J25" s="218"/>
      <c r="K25" s="218"/>
      <c r="L25" s="218"/>
      <c r="M25" s="273"/>
    </row>
    <row r="26" spans="1:13" x14ac:dyDescent="0.2">
      <c r="A26" s="231"/>
      <c r="B26" s="9"/>
      <c r="C26" s="7" t="s">
        <v>153</v>
      </c>
      <c r="D26" s="8"/>
      <c r="E26" s="218">
        <v>2</v>
      </c>
      <c r="F26" s="218"/>
      <c r="G26" s="218">
        <v>19.850000000000001</v>
      </c>
      <c r="H26" s="218">
        <v>0.02</v>
      </c>
      <c r="I26" s="218">
        <v>2.2999999999999998</v>
      </c>
      <c r="J26" s="218"/>
      <c r="K26" s="218"/>
      <c r="L26" s="218"/>
      <c r="M26" s="273">
        <f>E26*G26*H26*I26</f>
        <v>1.8262</v>
      </c>
    </row>
    <row r="27" spans="1:13" x14ac:dyDescent="0.2">
      <c r="A27" s="231"/>
      <c r="B27" s="9"/>
      <c r="C27" s="7"/>
      <c r="D27" s="8"/>
      <c r="E27" s="218"/>
      <c r="F27" s="218"/>
      <c r="G27" s="218"/>
      <c r="H27" s="218"/>
      <c r="I27" s="218"/>
      <c r="J27" s="218"/>
      <c r="K27" s="218"/>
      <c r="L27" s="218"/>
      <c r="M27" s="273"/>
    </row>
    <row r="28" spans="1:13" x14ac:dyDescent="0.2">
      <c r="A28" s="231"/>
      <c r="B28" s="9"/>
      <c r="C28" s="7" t="s">
        <v>151</v>
      </c>
      <c r="D28" s="8"/>
      <c r="E28" s="218"/>
      <c r="F28" s="218"/>
      <c r="G28" s="218"/>
      <c r="H28" s="218"/>
      <c r="I28" s="218"/>
      <c r="J28" s="218"/>
      <c r="K28" s="218"/>
      <c r="L28" s="218"/>
      <c r="M28" s="273"/>
    </row>
    <row r="29" spans="1:13" x14ac:dyDescent="0.2">
      <c r="A29" s="231"/>
      <c r="B29" s="9"/>
      <c r="C29" s="7" t="s">
        <v>162</v>
      </c>
      <c r="D29" s="8"/>
      <c r="E29" s="218">
        <v>2</v>
      </c>
      <c r="F29" s="218"/>
      <c r="G29" s="218">
        <v>9.6999999999999993</v>
      </c>
      <c r="H29" s="218">
        <v>0.02</v>
      </c>
      <c r="I29" s="218">
        <v>2.4</v>
      </c>
      <c r="J29" s="218"/>
      <c r="K29" s="218"/>
      <c r="L29" s="218"/>
      <c r="M29" s="273">
        <f>E29*G29*H29*I29</f>
        <v>0.93119999999999981</v>
      </c>
    </row>
    <row r="30" spans="1:13" x14ac:dyDescent="0.2">
      <c r="A30" s="231"/>
      <c r="B30" s="9"/>
      <c r="C30" s="7"/>
      <c r="D30" s="8"/>
      <c r="E30" s="218">
        <v>2</v>
      </c>
      <c r="F30" s="218">
        <v>0.7</v>
      </c>
      <c r="G30" s="218"/>
      <c r="H30" s="218">
        <v>0.02</v>
      </c>
      <c r="I30" s="218">
        <v>2.1</v>
      </c>
      <c r="J30" s="218"/>
      <c r="K30" s="218"/>
      <c r="L30" s="218"/>
      <c r="M30" s="273">
        <f>E30*F30*H30*I30</f>
        <v>5.8799999999999998E-2</v>
      </c>
    </row>
    <row r="31" spans="1:13" x14ac:dyDescent="0.2">
      <c r="A31" s="231"/>
      <c r="B31" s="9"/>
      <c r="C31" s="7"/>
      <c r="D31" s="8"/>
      <c r="E31" s="218"/>
      <c r="F31" s="218"/>
      <c r="G31" s="218"/>
      <c r="H31" s="218"/>
      <c r="I31" s="218"/>
      <c r="J31" s="218"/>
      <c r="K31" s="218"/>
      <c r="L31" s="218"/>
      <c r="M31" s="273"/>
    </row>
    <row r="32" spans="1:13" x14ac:dyDescent="0.2">
      <c r="A32" s="231"/>
      <c r="B32" s="9"/>
      <c r="C32" s="7" t="s">
        <v>152</v>
      </c>
      <c r="D32" s="8"/>
      <c r="E32" s="218"/>
      <c r="F32" s="218"/>
      <c r="G32" s="218"/>
      <c r="H32" s="218"/>
      <c r="I32" s="218"/>
      <c r="J32" s="218"/>
      <c r="K32" s="218"/>
      <c r="L32" s="218"/>
      <c r="M32" s="273"/>
    </row>
    <row r="33" spans="1:13" x14ac:dyDescent="0.2">
      <c r="A33" s="231"/>
      <c r="B33" s="9"/>
      <c r="C33" s="7" t="s">
        <v>181</v>
      </c>
      <c r="D33" s="8"/>
      <c r="E33" s="218">
        <v>2</v>
      </c>
      <c r="F33" s="218"/>
      <c r="G33" s="218">
        <v>4.25</v>
      </c>
      <c r="H33" s="218">
        <v>0.02</v>
      </c>
      <c r="I33" s="218">
        <v>2.8</v>
      </c>
      <c r="J33" s="218"/>
      <c r="K33" s="218"/>
      <c r="L33" s="218"/>
      <c r="M33" s="273">
        <f>E33*G33*H33*I33</f>
        <v>0.47599999999999998</v>
      </c>
    </row>
    <row r="34" spans="1:13" x14ac:dyDescent="0.2">
      <c r="A34" s="231"/>
      <c r="B34" s="17"/>
      <c r="C34" s="7"/>
      <c r="D34" s="8"/>
      <c r="E34" s="218"/>
      <c r="F34" s="218"/>
      <c r="G34" s="218"/>
      <c r="H34" s="218"/>
      <c r="I34" s="218"/>
      <c r="J34" s="218"/>
      <c r="K34" s="218"/>
      <c r="L34" s="218"/>
      <c r="M34" s="273"/>
    </row>
    <row r="35" spans="1:13" ht="36" x14ac:dyDescent="0.2">
      <c r="A35" s="231" t="s">
        <v>33</v>
      </c>
      <c r="B35" s="9" t="s">
        <v>319</v>
      </c>
      <c r="C35" s="7" t="s">
        <v>267</v>
      </c>
      <c r="D35" s="17" t="s">
        <v>17</v>
      </c>
      <c r="E35" s="218"/>
      <c r="F35" s="218"/>
      <c r="G35" s="218"/>
      <c r="H35" s="218"/>
      <c r="I35" s="218"/>
      <c r="J35" s="218"/>
      <c r="K35" s="218"/>
      <c r="L35" s="218"/>
      <c r="M35" s="272">
        <f>SUM(M36,M39,M42)</f>
        <v>139.88</v>
      </c>
    </row>
    <row r="36" spans="1:13" x14ac:dyDescent="0.2">
      <c r="A36" s="231"/>
      <c r="B36" s="9"/>
      <c r="C36" s="7" t="s">
        <v>150</v>
      </c>
      <c r="D36" s="8"/>
      <c r="E36" s="218"/>
      <c r="F36" s="218"/>
      <c r="G36" s="218">
        <v>10</v>
      </c>
      <c r="H36" s="218"/>
      <c r="I36" s="218">
        <v>2.2999999999999998</v>
      </c>
      <c r="J36" s="218"/>
      <c r="K36" s="218"/>
      <c r="L36" s="218"/>
      <c r="M36" s="273">
        <f>G36*I36</f>
        <v>23</v>
      </c>
    </row>
    <row r="37" spans="1:13" x14ac:dyDescent="0.2">
      <c r="A37" s="231"/>
      <c r="B37" s="9"/>
      <c r="C37" s="7"/>
      <c r="D37" s="8"/>
      <c r="E37" s="218"/>
      <c r="F37" s="218"/>
      <c r="G37" s="218"/>
      <c r="H37" s="218"/>
      <c r="I37" s="218"/>
      <c r="J37" s="218"/>
      <c r="K37" s="218"/>
      <c r="L37" s="218"/>
      <c r="M37" s="273"/>
    </row>
    <row r="38" spans="1:13" x14ac:dyDescent="0.2">
      <c r="A38" s="231"/>
      <c r="B38" s="9"/>
      <c r="C38" s="7" t="s">
        <v>151</v>
      </c>
      <c r="D38" s="8"/>
      <c r="E38" s="218"/>
      <c r="F38" s="218"/>
      <c r="G38" s="218"/>
      <c r="H38" s="218"/>
      <c r="I38" s="218"/>
      <c r="J38" s="218"/>
      <c r="K38" s="218"/>
      <c r="L38" s="218"/>
      <c r="M38" s="273"/>
    </row>
    <row r="39" spans="1:13" ht="24" x14ac:dyDescent="0.2">
      <c r="A39" s="231" t="s">
        <v>154</v>
      </c>
      <c r="B39" s="9"/>
      <c r="C39" s="7" t="s">
        <v>193</v>
      </c>
      <c r="D39" s="8"/>
      <c r="E39" s="218"/>
      <c r="F39" s="218"/>
      <c r="G39" s="218">
        <v>17.2</v>
      </c>
      <c r="H39" s="218"/>
      <c r="I39" s="218">
        <v>2.4</v>
      </c>
      <c r="J39" s="218"/>
      <c r="K39" s="218"/>
      <c r="L39" s="218"/>
      <c r="M39" s="273">
        <f>G39*I39</f>
        <v>41.279999999999994</v>
      </c>
    </row>
    <row r="40" spans="1:13" x14ac:dyDescent="0.2">
      <c r="A40" s="231"/>
      <c r="B40" s="9"/>
      <c r="C40" s="7"/>
      <c r="D40" s="8"/>
      <c r="E40" s="218"/>
      <c r="F40" s="218"/>
      <c r="G40" s="218"/>
      <c r="H40" s="218"/>
      <c r="I40" s="218"/>
      <c r="J40" s="218"/>
      <c r="K40" s="218"/>
      <c r="L40" s="218"/>
      <c r="M40" s="273"/>
    </row>
    <row r="41" spans="1:13" x14ac:dyDescent="0.2">
      <c r="A41" s="231"/>
      <c r="B41" s="9"/>
      <c r="C41" s="7" t="s">
        <v>152</v>
      </c>
      <c r="D41" s="8"/>
      <c r="E41" s="218"/>
      <c r="F41" s="218"/>
      <c r="G41" s="218"/>
      <c r="H41" s="218"/>
      <c r="I41" s="218"/>
      <c r="J41" s="218"/>
      <c r="K41" s="218"/>
      <c r="L41" s="218"/>
      <c r="M41" s="273"/>
    </row>
    <row r="42" spans="1:13" ht="24" x14ac:dyDescent="0.2">
      <c r="A42" s="231"/>
      <c r="B42" s="9"/>
      <c r="C42" s="7" t="s">
        <v>194</v>
      </c>
      <c r="D42" s="8"/>
      <c r="E42" s="218"/>
      <c r="F42" s="218"/>
      <c r="G42" s="218">
        <v>27</v>
      </c>
      <c r="H42" s="218"/>
      <c r="I42" s="218">
        <v>2.8</v>
      </c>
      <c r="J42" s="218"/>
      <c r="K42" s="218"/>
      <c r="L42" s="218"/>
      <c r="M42" s="273">
        <f>G42*I42</f>
        <v>75.599999999999994</v>
      </c>
    </row>
    <row r="43" spans="1:13" x14ac:dyDescent="0.2">
      <c r="A43" s="231"/>
      <c r="B43" s="9"/>
      <c r="C43" s="7"/>
      <c r="D43" s="8"/>
      <c r="E43" s="218"/>
      <c r="F43" s="218"/>
      <c r="G43" s="218"/>
      <c r="H43" s="218"/>
      <c r="I43" s="218"/>
      <c r="J43" s="218"/>
      <c r="K43" s="218"/>
      <c r="L43" s="218"/>
      <c r="M43" s="273"/>
    </row>
    <row r="44" spans="1:13" ht="36" x14ac:dyDescent="0.2">
      <c r="A44" s="231" t="s">
        <v>34</v>
      </c>
      <c r="B44" s="9" t="s">
        <v>320</v>
      </c>
      <c r="C44" s="7" t="s">
        <v>268</v>
      </c>
      <c r="D44" s="17" t="s">
        <v>17</v>
      </c>
      <c r="E44" s="218"/>
      <c r="F44" s="218"/>
      <c r="G44" s="218"/>
      <c r="H44" s="218"/>
      <c r="I44" s="218"/>
      <c r="J44" s="218"/>
      <c r="K44" s="218"/>
      <c r="L44" s="218"/>
      <c r="M44" s="272">
        <f>SUM(M46,M49)</f>
        <v>104.23999999999998</v>
      </c>
    </row>
    <row r="45" spans="1:13" x14ac:dyDescent="0.2">
      <c r="A45" s="231"/>
      <c r="B45" s="9"/>
      <c r="C45" s="7" t="s">
        <v>151</v>
      </c>
      <c r="D45" s="8"/>
      <c r="E45" s="218"/>
      <c r="F45" s="218"/>
      <c r="G45" s="218"/>
      <c r="H45" s="218"/>
      <c r="I45" s="218"/>
      <c r="J45" s="218"/>
      <c r="K45" s="218"/>
      <c r="L45" s="218"/>
      <c r="M45" s="273"/>
    </row>
    <row r="46" spans="1:13" ht="24" x14ac:dyDescent="0.2">
      <c r="A46" s="231"/>
      <c r="B46" s="9"/>
      <c r="C46" s="7" t="s">
        <v>155</v>
      </c>
      <c r="D46" s="8"/>
      <c r="E46" s="218"/>
      <c r="F46" s="218"/>
      <c r="G46" s="218">
        <v>13.45</v>
      </c>
      <c r="H46" s="218"/>
      <c r="I46" s="218">
        <v>2.4</v>
      </c>
      <c r="J46" s="218"/>
      <c r="K46" s="218"/>
      <c r="L46" s="218"/>
      <c r="M46" s="273">
        <f>G46*I46</f>
        <v>32.279999999999994</v>
      </c>
    </row>
    <row r="47" spans="1:13" x14ac:dyDescent="0.2">
      <c r="A47" s="231"/>
      <c r="B47" s="9"/>
      <c r="C47" s="7"/>
      <c r="D47" s="8"/>
      <c r="E47" s="218"/>
      <c r="F47" s="218"/>
      <c r="G47" s="218"/>
      <c r="H47" s="218"/>
      <c r="I47" s="218"/>
      <c r="J47" s="218"/>
      <c r="K47" s="218"/>
      <c r="L47" s="218"/>
      <c r="M47" s="273"/>
    </row>
    <row r="48" spans="1:13" x14ac:dyDescent="0.2">
      <c r="A48" s="231"/>
      <c r="B48" s="9"/>
      <c r="C48" s="7" t="s">
        <v>152</v>
      </c>
      <c r="D48" s="8"/>
      <c r="E48" s="218"/>
      <c r="F48" s="218"/>
      <c r="G48" s="218"/>
      <c r="H48" s="218"/>
      <c r="I48" s="218"/>
      <c r="J48" s="218"/>
      <c r="K48" s="218"/>
      <c r="L48" s="218"/>
      <c r="M48" s="273"/>
    </row>
    <row r="49" spans="1:13" ht="24" x14ac:dyDescent="0.2">
      <c r="A49" s="231"/>
      <c r="B49" s="9"/>
      <c r="C49" s="7" t="s">
        <v>176</v>
      </c>
      <c r="D49" s="8"/>
      <c r="E49" s="218"/>
      <c r="F49" s="218"/>
      <c r="G49" s="218">
        <v>25.7</v>
      </c>
      <c r="H49" s="218"/>
      <c r="I49" s="218">
        <v>2.8</v>
      </c>
      <c r="J49" s="218"/>
      <c r="K49" s="218"/>
      <c r="L49" s="218"/>
      <c r="M49" s="273">
        <f>G49*I49</f>
        <v>71.959999999999994</v>
      </c>
    </row>
    <row r="50" spans="1:13" x14ac:dyDescent="0.2">
      <c r="A50" s="231"/>
      <c r="B50" s="9"/>
      <c r="C50" s="7"/>
      <c r="D50" s="8"/>
      <c r="E50" s="218"/>
      <c r="F50" s="218"/>
      <c r="G50" s="218"/>
      <c r="H50" s="218"/>
      <c r="I50" s="218"/>
      <c r="J50" s="218"/>
      <c r="K50" s="218"/>
      <c r="L50" s="218"/>
      <c r="M50" s="273"/>
    </row>
    <row r="51" spans="1:13" ht="36" x14ac:dyDescent="0.2">
      <c r="A51" s="231" t="s">
        <v>35</v>
      </c>
      <c r="B51" s="9" t="s">
        <v>321</v>
      </c>
      <c r="C51" s="7" t="s">
        <v>269</v>
      </c>
      <c r="D51" s="17" t="s">
        <v>17</v>
      </c>
      <c r="E51" s="218"/>
      <c r="F51" s="218"/>
      <c r="G51" s="218"/>
      <c r="H51" s="218"/>
      <c r="I51" s="218"/>
      <c r="J51" s="218"/>
      <c r="K51" s="218"/>
      <c r="L51" s="218"/>
      <c r="M51" s="272">
        <f>SUM(M53:M66)</f>
        <v>108.54999999999998</v>
      </c>
    </row>
    <row r="52" spans="1:13" x14ac:dyDescent="0.2">
      <c r="A52" s="231"/>
      <c r="B52" s="9"/>
      <c r="C52" s="7" t="s">
        <v>156</v>
      </c>
      <c r="D52" s="8"/>
      <c r="E52" s="218"/>
      <c r="F52" s="218"/>
      <c r="G52" s="218"/>
      <c r="H52" s="218"/>
      <c r="I52" s="218"/>
      <c r="J52" s="218"/>
      <c r="K52" s="218"/>
      <c r="L52" s="218"/>
      <c r="M52" s="273"/>
    </row>
    <row r="53" spans="1:13" x14ac:dyDescent="0.2">
      <c r="A53" s="231"/>
      <c r="B53" s="9"/>
      <c r="C53" s="7" t="s">
        <v>158</v>
      </c>
      <c r="D53" s="8"/>
      <c r="E53" s="218"/>
      <c r="F53" s="218"/>
      <c r="G53" s="218"/>
      <c r="H53" s="218"/>
      <c r="I53" s="218"/>
      <c r="J53" s="218">
        <v>21.35</v>
      </c>
      <c r="K53" s="218"/>
      <c r="L53" s="218"/>
      <c r="M53" s="273">
        <f>J53</f>
        <v>21.35</v>
      </c>
    </row>
    <row r="54" spans="1:13" x14ac:dyDescent="0.2">
      <c r="A54" s="231"/>
      <c r="B54" s="9"/>
      <c r="C54" s="7" t="s">
        <v>159</v>
      </c>
      <c r="D54" s="8"/>
      <c r="E54" s="218"/>
      <c r="F54" s="218"/>
      <c r="G54" s="218"/>
      <c r="H54" s="218"/>
      <c r="I54" s="218"/>
      <c r="J54" s="218">
        <v>20.11</v>
      </c>
      <c r="K54" s="218"/>
      <c r="L54" s="218"/>
      <c r="M54" s="273">
        <f>J54</f>
        <v>20.11</v>
      </c>
    </row>
    <row r="55" spans="1:13" x14ac:dyDescent="0.2">
      <c r="A55" s="231"/>
      <c r="B55" s="9"/>
      <c r="C55" s="7" t="s">
        <v>160</v>
      </c>
      <c r="D55" s="8"/>
      <c r="E55" s="218"/>
      <c r="F55" s="218"/>
      <c r="G55" s="218"/>
      <c r="H55" s="218"/>
      <c r="I55" s="218"/>
      <c r="J55" s="218">
        <v>3.79</v>
      </c>
      <c r="K55" s="218"/>
      <c r="L55" s="218"/>
      <c r="M55" s="273">
        <f>J55</f>
        <v>3.79</v>
      </c>
    </row>
    <row r="56" spans="1:13" x14ac:dyDescent="0.2">
      <c r="A56" s="231"/>
      <c r="B56" s="9"/>
      <c r="C56" s="7" t="s">
        <v>161</v>
      </c>
      <c r="D56" s="8"/>
      <c r="E56" s="218"/>
      <c r="F56" s="218"/>
      <c r="G56" s="218"/>
      <c r="H56" s="218"/>
      <c r="I56" s="218"/>
      <c r="J56" s="218">
        <v>5.72</v>
      </c>
      <c r="K56" s="218"/>
      <c r="L56" s="218"/>
      <c r="M56" s="273">
        <f>J56</f>
        <v>5.72</v>
      </c>
    </row>
    <row r="57" spans="1:13" x14ac:dyDescent="0.2">
      <c r="A57" s="231"/>
      <c r="B57" s="9"/>
      <c r="C57" s="7"/>
      <c r="D57" s="8"/>
      <c r="E57" s="218"/>
      <c r="F57" s="218"/>
      <c r="G57" s="218"/>
      <c r="H57" s="218"/>
      <c r="I57" s="218"/>
      <c r="J57" s="218"/>
      <c r="K57" s="218"/>
      <c r="L57" s="218"/>
      <c r="M57" s="273"/>
    </row>
    <row r="58" spans="1:13" x14ac:dyDescent="0.2">
      <c r="A58" s="231"/>
      <c r="B58" s="9"/>
      <c r="C58" s="7" t="s">
        <v>168</v>
      </c>
      <c r="D58" s="8"/>
      <c r="E58" s="218"/>
      <c r="F58" s="218"/>
      <c r="G58" s="218"/>
      <c r="H58" s="218"/>
      <c r="I58" s="218"/>
      <c r="J58" s="218"/>
      <c r="K58" s="218"/>
      <c r="L58" s="218"/>
      <c r="M58" s="273"/>
    </row>
    <row r="59" spans="1:13" x14ac:dyDescent="0.2">
      <c r="A59" s="231"/>
      <c r="B59" s="9"/>
      <c r="C59" s="7" t="s">
        <v>163</v>
      </c>
      <c r="D59" s="8"/>
      <c r="E59" s="218"/>
      <c r="F59" s="218"/>
      <c r="G59" s="218"/>
      <c r="H59" s="218"/>
      <c r="I59" s="218"/>
      <c r="J59" s="218">
        <v>15.77</v>
      </c>
      <c r="K59" s="218"/>
      <c r="L59" s="218"/>
      <c r="M59" s="273">
        <f>J59</f>
        <v>15.77</v>
      </c>
    </row>
    <row r="60" spans="1:13" x14ac:dyDescent="0.2">
      <c r="A60" s="231"/>
      <c r="B60" s="9"/>
      <c r="C60" s="7" t="s">
        <v>164</v>
      </c>
      <c r="D60" s="8"/>
      <c r="E60" s="218"/>
      <c r="F60" s="218"/>
      <c r="G60" s="218"/>
      <c r="H60" s="218"/>
      <c r="I60" s="218"/>
      <c r="J60" s="218">
        <v>17.13</v>
      </c>
      <c r="K60" s="218"/>
      <c r="L60" s="218"/>
      <c r="M60" s="273">
        <f>J60</f>
        <v>17.13</v>
      </c>
    </row>
    <row r="61" spans="1:13" x14ac:dyDescent="0.2">
      <c r="A61" s="231"/>
      <c r="B61" s="9"/>
      <c r="C61" s="7"/>
      <c r="D61" s="8"/>
      <c r="E61" s="218"/>
      <c r="F61" s="218"/>
      <c r="G61" s="218"/>
      <c r="H61" s="218"/>
      <c r="I61" s="218"/>
      <c r="J61" s="218"/>
      <c r="K61" s="218"/>
      <c r="L61" s="218"/>
      <c r="M61" s="273"/>
    </row>
    <row r="62" spans="1:13" x14ac:dyDescent="0.2">
      <c r="A62" s="231"/>
      <c r="B62" s="9"/>
      <c r="C62" s="7" t="s">
        <v>157</v>
      </c>
      <c r="D62" s="8"/>
      <c r="E62" s="218"/>
      <c r="F62" s="218"/>
      <c r="G62" s="218"/>
      <c r="H62" s="218"/>
      <c r="I62" s="218"/>
      <c r="J62" s="218"/>
      <c r="K62" s="218"/>
      <c r="L62" s="218"/>
      <c r="M62" s="273"/>
    </row>
    <row r="63" spans="1:13" x14ac:dyDescent="0.2">
      <c r="A63" s="231"/>
      <c r="B63" s="9"/>
      <c r="C63" s="7" t="s">
        <v>167</v>
      </c>
      <c r="D63" s="8"/>
      <c r="E63" s="218"/>
      <c r="F63" s="218"/>
      <c r="G63" s="218"/>
      <c r="H63" s="218"/>
      <c r="I63" s="218"/>
      <c r="J63" s="218">
        <v>2.34</v>
      </c>
      <c r="K63" s="218"/>
      <c r="L63" s="218"/>
      <c r="M63" s="273">
        <f>J63</f>
        <v>2.34</v>
      </c>
    </row>
    <row r="64" spans="1:13" x14ac:dyDescent="0.2">
      <c r="A64" s="231"/>
      <c r="B64" s="9"/>
      <c r="C64" s="7" t="s">
        <v>166</v>
      </c>
      <c r="D64" s="8"/>
      <c r="E64" s="218"/>
      <c r="F64" s="218"/>
      <c r="G64" s="218"/>
      <c r="H64" s="218"/>
      <c r="I64" s="218"/>
      <c r="J64" s="218">
        <v>8.56</v>
      </c>
      <c r="K64" s="218"/>
      <c r="L64" s="218"/>
      <c r="M64" s="273">
        <f>J64</f>
        <v>8.56</v>
      </c>
    </row>
    <row r="65" spans="1:13" x14ac:dyDescent="0.2">
      <c r="A65" s="231"/>
      <c r="B65" s="9"/>
      <c r="C65" s="7" t="s">
        <v>165</v>
      </c>
      <c r="D65" s="8"/>
      <c r="E65" s="218"/>
      <c r="F65" s="218"/>
      <c r="G65" s="218"/>
      <c r="H65" s="218"/>
      <c r="I65" s="218"/>
      <c r="J65" s="218">
        <v>3.24</v>
      </c>
      <c r="K65" s="218"/>
      <c r="L65" s="218"/>
      <c r="M65" s="273">
        <f>J65</f>
        <v>3.24</v>
      </c>
    </row>
    <row r="66" spans="1:13" x14ac:dyDescent="0.2">
      <c r="A66" s="231"/>
      <c r="B66" s="9"/>
      <c r="C66" s="7" t="s">
        <v>175</v>
      </c>
      <c r="D66" s="8">
        <v>2</v>
      </c>
      <c r="E66" s="218"/>
      <c r="F66" s="218"/>
      <c r="G66" s="218"/>
      <c r="H66" s="218"/>
      <c r="I66" s="218"/>
      <c r="J66" s="218">
        <v>5.27</v>
      </c>
      <c r="K66" s="218"/>
      <c r="L66" s="218"/>
      <c r="M66" s="273">
        <f>D66*J66</f>
        <v>10.54</v>
      </c>
    </row>
    <row r="67" spans="1:13" x14ac:dyDescent="0.2">
      <c r="A67" s="231"/>
      <c r="B67" s="9"/>
      <c r="C67" s="7"/>
      <c r="D67" s="8"/>
      <c r="E67" s="218"/>
      <c r="F67" s="218"/>
      <c r="G67" s="218"/>
      <c r="H67" s="218"/>
      <c r="I67" s="218"/>
      <c r="J67" s="218"/>
      <c r="K67" s="218"/>
      <c r="L67" s="218"/>
      <c r="M67" s="273"/>
    </row>
    <row r="68" spans="1:13" ht="48" x14ac:dyDescent="0.2">
      <c r="A68" s="231" t="s">
        <v>36</v>
      </c>
      <c r="B68" s="9" t="s">
        <v>322</v>
      </c>
      <c r="C68" s="7" t="s">
        <v>270</v>
      </c>
      <c r="D68" s="17" t="s">
        <v>17</v>
      </c>
      <c r="E68" s="218"/>
      <c r="F68" s="218"/>
      <c r="G68" s="218"/>
      <c r="H68" s="218"/>
      <c r="I68" s="218"/>
      <c r="J68" s="218"/>
      <c r="K68" s="218"/>
      <c r="L68" s="218"/>
      <c r="M68" s="272">
        <f>SUM(M70:M74)</f>
        <v>6.1999999999999993</v>
      </c>
    </row>
    <row r="69" spans="1:13" x14ac:dyDescent="0.2">
      <c r="A69" s="231"/>
      <c r="B69" s="9"/>
      <c r="C69" s="7" t="s">
        <v>151</v>
      </c>
      <c r="D69" s="8"/>
      <c r="E69" s="218"/>
      <c r="F69" s="218"/>
      <c r="G69" s="218"/>
      <c r="H69" s="218"/>
      <c r="I69" s="218"/>
      <c r="J69" s="218"/>
      <c r="K69" s="218"/>
      <c r="L69" s="218"/>
      <c r="M69" s="273"/>
    </row>
    <row r="70" spans="1:13" x14ac:dyDescent="0.2">
      <c r="A70" s="231"/>
      <c r="B70" s="9"/>
      <c r="C70" s="7" t="s">
        <v>170</v>
      </c>
      <c r="D70" s="8"/>
      <c r="E70" s="218">
        <v>3</v>
      </c>
      <c r="F70" s="218">
        <v>0.6</v>
      </c>
      <c r="G70" s="218"/>
      <c r="H70" s="218"/>
      <c r="I70" s="218"/>
      <c r="J70" s="218"/>
      <c r="K70" s="218"/>
      <c r="L70" s="218"/>
      <c r="M70" s="273">
        <f>E70*F70</f>
        <v>1.7999999999999998</v>
      </c>
    </row>
    <row r="71" spans="1:13" x14ac:dyDescent="0.2">
      <c r="A71" s="231"/>
      <c r="B71" s="9"/>
      <c r="C71" s="7" t="s">
        <v>169</v>
      </c>
      <c r="D71" s="8"/>
      <c r="E71" s="218">
        <v>1</v>
      </c>
      <c r="F71" s="218">
        <v>3</v>
      </c>
      <c r="G71" s="218"/>
      <c r="H71" s="218"/>
      <c r="I71" s="218"/>
      <c r="J71" s="218"/>
      <c r="K71" s="218"/>
      <c r="L71" s="218"/>
      <c r="M71" s="273">
        <f>E71*F71</f>
        <v>3</v>
      </c>
    </row>
    <row r="72" spans="1:13" x14ac:dyDescent="0.2">
      <c r="A72" s="231"/>
      <c r="B72" s="9"/>
      <c r="C72" s="7" t="s">
        <v>152</v>
      </c>
      <c r="D72" s="8"/>
      <c r="E72" s="218"/>
      <c r="F72" s="218"/>
      <c r="G72" s="218"/>
      <c r="H72" s="218"/>
      <c r="I72" s="218"/>
      <c r="J72" s="218"/>
      <c r="K72" s="218"/>
      <c r="L72" s="218"/>
      <c r="M72" s="273"/>
    </row>
    <row r="73" spans="1:13" x14ac:dyDescent="0.2">
      <c r="A73" s="231"/>
      <c r="B73" s="9"/>
      <c r="C73" s="7" t="s">
        <v>167</v>
      </c>
      <c r="D73" s="10"/>
      <c r="E73" s="218">
        <v>1</v>
      </c>
      <c r="F73" s="218">
        <v>0.6</v>
      </c>
      <c r="G73" s="218"/>
      <c r="H73" s="218"/>
      <c r="I73" s="218"/>
      <c r="J73" s="218"/>
      <c r="K73" s="218"/>
      <c r="L73" s="218"/>
      <c r="M73" s="273">
        <f>E73*F73</f>
        <v>0.6</v>
      </c>
    </row>
    <row r="74" spans="1:13" x14ac:dyDescent="0.2">
      <c r="A74" s="231"/>
      <c r="B74" s="9"/>
      <c r="C74" s="7" t="s">
        <v>171</v>
      </c>
      <c r="D74" s="8"/>
      <c r="E74" s="218">
        <v>1</v>
      </c>
      <c r="F74" s="218">
        <v>0.8</v>
      </c>
      <c r="G74" s="218"/>
      <c r="H74" s="218"/>
      <c r="I74" s="218"/>
      <c r="J74" s="218"/>
      <c r="K74" s="218"/>
      <c r="L74" s="218"/>
      <c r="M74" s="273">
        <f>E74*F74</f>
        <v>0.8</v>
      </c>
    </row>
    <row r="75" spans="1:13" x14ac:dyDescent="0.2">
      <c r="A75" s="231"/>
      <c r="B75" s="9"/>
      <c r="C75" s="7"/>
      <c r="D75" s="8"/>
      <c r="E75" s="218"/>
      <c r="F75" s="218"/>
      <c r="G75" s="218"/>
      <c r="H75" s="218"/>
      <c r="I75" s="218"/>
      <c r="J75" s="218"/>
      <c r="K75" s="218"/>
      <c r="L75" s="218"/>
      <c r="M75" s="273"/>
    </row>
    <row r="76" spans="1:13" ht="24" x14ac:dyDescent="0.2">
      <c r="A76" s="231" t="s">
        <v>37</v>
      </c>
      <c r="B76" s="9" t="s">
        <v>323</v>
      </c>
      <c r="C76" s="7" t="s">
        <v>271</v>
      </c>
      <c r="D76" s="17" t="s">
        <v>38</v>
      </c>
      <c r="E76" s="218"/>
      <c r="F76" s="218"/>
      <c r="G76" s="218"/>
      <c r="H76" s="218"/>
      <c r="I76" s="218"/>
      <c r="J76" s="218"/>
      <c r="K76" s="218"/>
      <c r="L76" s="218"/>
      <c r="M76" s="272">
        <f>SUM(M78,M81,M82,M85)</f>
        <v>9.5534999999999997</v>
      </c>
    </row>
    <row r="77" spans="1:13" x14ac:dyDescent="0.2">
      <c r="A77" s="236"/>
      <c r="B77" s="344"/>
      <c r="C77" s="345" t="s">
        <v>150</v>
      </c>
      <c r="D77" s="346"/>
      <c r="E77" s="347"/>
      <c r="F77" s="347"/>
      <c r="G77" s="347"/>
      <c r="H77" s="347"/>
      <c r="I77" s="347"/>
      <c r="J77" s="347"/>
      <c r="K77" s="347"/>
      <c r="L77" s="347"/>
      <c r="M77" s="342"/>
    </row>
    <row r="78" spans="1:13" x14ac:dyDescent="0.2">
      <c r="A78" s="231"/>
      <c r="B78" s="9"/>
      <c r="C78" s="7" t="s">
        <v>153</v>
      </c>
      <c r="D78" s="8"/>
      <c r="E78" s="218"/>
      <c r="F78" s="218"/>
      <c r="G78" s="218">
        <v>19.850000000000001</v>
      </c>
      <c r="H78" s="218">
        <v>0.1</v>
      </c>
      <c r="I78" s="218">
        <v>2.2999999999999998</v>
      </c>
      <c r="J78" s="218"/>
      <c r="K78" s="218"/>
      <c r="L78" s="218"/>
      <c r="M78" s="273">
        <f>G78*H78*I78</f>
        <v>4.5655000000000001</v>
      </c>
    </row>
    <row r="79" spans="1:13" x14ac:dyDescent="0.2">
      <c r="A79" s="231"/>
      <c r="B79" s="9"/>
      <c r="C79" s="7"/>
      <c r="D79" s="8"/>
      <c r="E79" s="218"/>
      <c r="F79" s="218"/>
      <c r="G79" s="218"/>
      <c r="H79" s="218"/>
      <c r="I79" s="218"/>
      <c r="J79" s="218"/>
      <c r="K79" s="218"/>
      <c r="L79" s="218"/>
      <c r="M79" s="273"/>
    </row>
    <row r="80" spans="1:13" x14ac:dyDescent="0.2">
      <c r="A80" s="231"/>
      <c r="B80" s="9"/>
      <c r="C80" s="7" t="s">
        <v>151</v>
      </c>
      <c r="D80" s="8"/>
      <c r="E80" s="218"/>
      <c r="F80" s="218"/>
      <c r="G80" s="218"/>
      <c r="H80" s="218"/>
      <c r="I80" s="218"/>
      <c r="J80" s="218"/>
      <c r="K80" s="218"/>
      <c r="L80" s="218"/>
      <c r="M80" s="273"/>
    </row>
    <row r="81" spans="1:13" x14ac:dyDescent="0.2">
      <c r="A81" s="231"/>
      <c r="B81" s="9"/>
      <c r="C81" s="7" t="s">
        <v>162</v>
      </c>
      <c r="D81" s="8"/>
      <c r="E81" s="218"/>
      <c r="F81" s="218"/>
      <c r="G81" s="218">
        <v>9.6999999999999993</v>
      </c>
      <c r="H81" s="218">
        <v>0.1</v>
      </c>
      <c r="I81" s="218">
        <v>2.4</v>
      </c>
      <c r="J81" s="218"/>
      <c r="K81" s="218"/>
      <c r="L81" s="218"/>
      <c r="M81" s="273">
        <f>G81*H81*I81</f>
        <v>2.3279999999999998</v>
      </c>
    </row>
    <row r="82" spans="1:13" x14ac:dyDescent="0.2">
      <c r="A82" s="231"/>
      <c r="B82" s="9"/>
      <c r="C82" s="7"/>
      <c r="D82" s="8"/>
      <c r="E82" s="218"/>
      <c r="F82" s="218">
        <v>0.7</v>
      </c>
      <c r="G82" s="218"/>
      <c r="H82" s="218"/>
      <c r="I82" s="218">
        <v>2.1</v>
      </c>
      <c r="J82" s="218"/>
      <c r="K82" s="218"/>
      <c r="L82" s="218"/>
      <c r="M82" s="273">
        <f>F82*I82</f>
        <v>1.47</v>
      </c>
    </row>
    <row r="83" spans="1:13" x14ac:dyDescent="0.2">
      <c r="A83" s="231"/>
      <c r="B83" s="9"/>
      <c r="C83" s="7"/>
      <c r="D83" s="8"/>
      <c r="E83" s="218"/>
      <c r="F83" s="218"/>
      <c r="G83" s="218"/>
      <c r="H83" s="218"/>
      <c r="I83" s="218"/>
      <c r="J83" s="218"/>
      <c r="K83" s="218"/>
      <c r="L83" s="218"/>
      <c r="M83" s="273"/>
    </row>
    <row r="84" spans="1:13" x14ac:dyDescent="0.2">
      <c r="A84" s="231"/>
      <c r="B84" s="9"/>
      <c r="C84" s="7" t="s">
        <v>152</v>
      </c>
      <c r="D84" s="8"/>
      <c r="E84" s="218"/>
      <c r="F84" s="218"/>
      <c r="G84" s="218"/>
      <c r="H84" s="218"/>
      <c r="I84" s="218"/>
      <c r="J84" s="218"/>
      <c r="K84" s="218"/>
      <c r="L84" s="218"/>
      <c r="M84" s="273"/>
    </row>
    <row r="85" spans="1:13" x14ac:dyDescent="0.2">
      <c r="A85" s="231"/>
      <c r="B85" s="9"/>
      <c r="C85" s="7" t="s">
        <v>181</v>
      </c>
      <c r="D85" s="8"/>
      <c r="E85" s="218"/>
      <c r="F85" s="218"/>
      <c r="G85" s="218">
        <v>4.25</v>
      </c>
      <c r="H85" s="218">
        <v>0.1</v>
      </c>
      <c r="I85" s="218">
        <v>2.8</v>
      </c>
      <c r="J85" s="218"/>
      <c r="K85" s="218"/>
      <c r="L85" s="218"/>
      <c r="M85" s="273">
        <f>G85*H85*I85</f>
        <v>1.19</v>
      </c>
    </row>
    <row r="86" spans="1:13" x14ac:dyDescent="0.2">
      <c r="A86" s="231"/>
      <c r="B86" s="9"/>
      <c r="C86" s="7"/>
      <c r="D86" s="8"/>
      <c r="E86" s="218"/>
      <c r="F86" s="218"/>
      <c r="G86" s="218"/>
      <c r="H86" s="218"/>
      <c r="I86" s="218"/>
      <c r="J86" s="218"/>
      <c r="K86" s="218"/>
      <c r="L86" s="218"/>
      <c r="M86" s="273"/>
    </row>
    <row r="87" spans="1:13" ht="36" x14ac:dyDescent="0.2">
      <c r="A87" s="231" t="s">
        <v>56</v>
      </c>
      <c r="B87" s="9" t="s">
        <v>324</v>
      </c>
      <c r="C87" s="7" t="s">
        <v>57</v>
      </c>
      <c r="D87" s="17" t="s">
        <v>58</v>
      </c>
      <c r="E87" s="218"/>
      <c r="F87" s="218"/>
      <c r="G87" s="218"/>
      <c r="H87" s="218"/>
      <c r="I87" s="218"/>
      <c r="J87" s="218"/>
      <c r="K87" s="218"/>
      <c r="L87" s="218"/>
      <c r="M87" s="272">
        <f>SUM(M88)</f>
        <v>444.27599999999995</v>
      </c>
    </row>
    <row r="88" spans="1:13" x14ac:dyDescent="0.2">
      <c r="A88" s="231"/>
      <c r="B88" s="9"/>
      <c r="C88" s="7" t="s">
        <v>174</v>
      </c>
      <c r="D88" s="8"/>
      <c r="E88" s="218"/>
      <c r="F88" s="218">
        <v>9.0299999999999994</v>
      </c>
      <c r="G88" s="218"/>
      <c r="H88" s="218">
        <v>4.92</v>
      </c>
      <c r="I88" s="218"/>
      <c r="J88" s="218"/>
      <c r="K88" s="218">
        <v>10</v>
      </c>
      <c r="L88" s="218"/>
      <c r="M88" s="273">
        <f>F88*H88*K88</f>
        <v>444.27599999999995</v>
      </c>
    </row>
    <row r="89" spans="1:13" x14ac:dyDescent="0.2">
      <c r="A89" s="231"/>
      <c r="B89" s="9"/>
      <c r="C89" s="7"/>
      <c r="D89" s="8"/>
      <c r="E89" s="218"/>
      <c r="F89" s="218"/>
      <c r="G89" s="218"/>
      <c r="H89" s="218"/>
      <c r="I89" s="218"/>
      <c r="J89" s="218"/>
      <c r="K89" s="218"/>
      <c r="L89" s="218"/>
      <c r="M89" s="273"/>
    </row>
    <row r="90" spans="1:13" ht="48" x14ac:dyDescent="0.2">
      <c r="A90" s="231" t="s">
        <v>71</v>
      </c>
      <c r="B90" s="9" t="s">
        <v>325</v>
      </c>
      <c r="C90" s="7" t="s">
        <v>272</v>
      </c>
      <c r="D90" s="17" t="s">
        <v>38</v>
      </c>
      <c r="E90" s="218"/>
      <c r="F90" s="218"/>
      <c r="G90" s="218"/>
      <c r="H90" s="218"/>
      <c r="I90" s="218"/>
      <c r="J90" s="218"/>
      <c r="K90" s="218"/>
      <c r="L90" s="218"/>
      <c r="M90" s="272">
        <f>SUM(M91)</f>
        <v>0.50273999999999996</v>
      </c>
    </row>
    <row r="91" spans="1:13" x14ac:dyDescent="0.2">
      <c r="A91" s="231"/>
      <c r="B91" s="9"/>
      <c r="C91" s="7" t="s">
        <v>151</v>
      </c>
      <c r="D91" s="8"/>
      <c r="E91" s="218"/>
      <c r="F91" s="218">
        <v>1.96</v>
      </c>
      <c r="G91" s="218"/>
      <c r="H91" s="218">
        <v>1.71</v>
      </c>
      <c r="I91" s="218">
        <v>0.15</v>
      </c>
      <c r="J91" s="218"/>
      <c r="K91" s="218"/>
      <c r="L91" s="218"/>
      <c r="M91" s="273">
        <f>F91*H91*I91</f>
        <v>0.50273999999999996</v>
      </c>
    </row>
    <row r="92" spans="1:13" x14ac:dyDescent="0.2">
      <c r="A92" s="231"/>
      <c r="B92" s="9"/>
      <c r="C92" s="7"/>
      <c r="D92" s="8"/>
      <c r="E92" s="218"/>
      <c r="F92" s="218"/>
      <c r="G92" s="218"/>
      <c r="H92" s="218"/>
      <c r="I92" s="218"/>
      <c r="J92" s="218"/>
      <c r="K92" s="218"/>
      <c r="L92" s="218"/>
      <c r="M92" s="273"/>
    </row>
    <row r="93" spans="1:13" ht="24" x14ac:dyDescent="0.2">
      <c r="A93" s="231" t="s">
        <v>39</v>
      </c>
      <c r="B93" s="9" t="s">
        <v>326</v>
      </c>
      <c r="C93" s="7" t="s">
        <v>40</v>
      </c>
      <c r="D93" s="17" t="s">
        <v>17</v>
      </c>
      <c r="E93" s="218"/>
      <c r="F93" s="218"/>
      <c r="G93" s="218"/>
      <c r="H93" s="218"/>
      <c r="I93" s="218"/>
      <c r="J93" s="218"/>
      <c r="K93" s="218"/>
      <c r="L93" s="218"/>
      <c r="M93" s="272">
        <f>SUM(M95:M147)</f>
        <v>347.23700000000002</v>
      </c>
    </row>
    <row r="94" spans="1:13" x14ac:dyDescent="0.2">
      <c r="A94" s="231"/>
      <c r="B94" s="9"/>
      <c r="C94" s="7" t="s">
        <v>150</v>
      </c>
      <c r="D94" s="8"/>
      <c r="E94" s="218"/>
      <c r="F94" s="218"/>
      <c r="G94" s="218"/>
      <c r="H94" s="218"/>
      <c r="I94" s="218"/>
      <c r="J94" s="10"/>
      <c r="K94" s="218"/>
      <c r="L94" s="218"/>
      <c r="M94" s="273"/>
    </row>
    <row r="95" spans="1:13" x14ac:dyDescent="0.2">
      <c r="A95" s="231"/>
      <c r="B95" s="9"/>
      <c r="C95" s="7" t="s">
        <v>195</v>
      </c>
      <c r="D95" s="8"/>
      <c r="E95" s="218"/>
      <c r="F95" s="218"/>
      <c r="G95" s="218"/>
      <c r="H95" s="218"/>
      <c r="I95" s="218"/>
      <c r="J95" s="218">
        <v>71.63</v>
      </c>
      <c r="K95" s="218"/>
      <c r="L95" s="218"/>
      <c r="M95" s="273">
        <f>J95</f>
        <v>71.63</v>
      </c>
    </row>
    <row r="96" spans="1:13" x14ac:dyDescent="0.2">
      <c r="A96" s="231"/>
      <c r="B96" s="9"/>
      <c r="C96" s="7" t="s">
        <v>196</v>
      </c>
      <c r="D96" s="8"/>
      <c r="E96" s="218"/>
      <c r="F96" s="218"/>
      <c r="G96" s="218"/>
      <c r="H96" s="218"/>
      <c r="I96" s="218"/>
      <c r="J96" s="218">
        <v>16.55</v>
      </c>
      <c r="K96" s="218"/>
      <c r="L96" s="218"/>
      <c r="M96" s="273">
        <f>J96</f>
        <v>16.55</v>
      </c>
    </row>
    <row r="97" spans="1:13" x14ac:dyDescent="0.2">
      <c r="A97" s="231"/>
      <c r="B97" s="9"/>
      <c r="C97" s="7" t="s">
        <v>197</v>
      </c>
      <c r="D97" s="8"/>
      <c r="E97" s="218"/>
      <c r="F97" s="218"/>
      <c r="G97" s="218"/>
      <c r="H97" s="218"/>
      <c r="I97" s="218"/>
      <c r="J97" s="218">
        <v>13.16</v>
      </c>
      <c r="K97" s="218"/>
      <c r="L97" s="218"/>
      <c r="M97" s="273">
        <f>J97</f>
        <v>13.16</v>
      </c>
    </row>
    <row r="98" spans="1:13" x14ac:dyDescent="0.2">
      <c r="A98" s="231"/>
      <c r="B98" s="9"/>
      <c r="C98" s="7" t="s">
        <v>198</v>
      </c>
      <c r="D98" s="8"/>
      <c r="E98" s="218"/>
      <c r="F98" s="218"/>
      <c r="G98" s="218"/>
      <c r="H98" s="218"/>
      <c r="I98" s="218"/>
      <c r="J98" s="218">
        <v>16.82</v>
      </c>
      <c r="K98" s="218"/>
      <c r="L98" s="218"/>
      <c r="M98" s="273">
        <f>J98</f>
        <v>16.82</v>
      </c>
    </row>
    <row r="99" spans="1:13" x14ac:dyDescent="0.2">
      <c r="A99" s="231"/>
      <c r="B99" s="9"/>
      <c r="C99" s="7"/>
      <c r="D99" s="8"/>
      <c r="E99" s="218"/>
      <c r="F99" s="218"/>
      <c r="G99" s="218"/>
      <c r="H99" s="218"/>
      <c r="I99" s="218"/>
      <c r="J99" s="218"/>
      <c r="K99" s="218"/>
      <c r="L99" s="218"/>
      <c r="M99" s="273"/>
    </row>
    <row r="100" spans="1:13" x14ac:dyDescent="0.2">
      <c r="A100" s="231"/>
      <c r="B100" s="9"/>
      <c r="C100" s="7" t="s">
        <v>179</v>
      </c>
      <c r="D100" s="8"/>
      <c r="E100" s="218"/>
      <c r="F100" s="218"/>
      <c r="G100" s="218"/>
      <c r="H100" s="218"/>
      <c r="I100" s="218"/>
      <c r="J100" s="218"/>
      <c r="K100" s="218"/>
      <c r="L100" s="218"/>
      <c r="M100" s="273"/>
    </row>
    <row r="101" spans="1:13" x14ac:dyDescent="0.2">
      <c r="A101" s="231"/>
      <c r="B101" s="9"/>
      <c r="C101" s="7" t="s">
        <v>163</v>
      </c>
      <c r="D101" s="8"/>
      <c r="E101" s="218"/>
      <c r="F101" s="218"/>
      <c r="G101" s="218"/>
      <c r="H101" s="218"/>
      <c r="I101" s="218"/>
      <c r="J101" s="218"/>
      <c r="K101" s="218"/>
      <c r="L101" s="218"/>
      <c r="M101" s="273"/>
    </row>
    <row r="102" spans="1:13" x14ac:dyDescent="0.2">
      <c r="A102" s="231"/>
      <c r="B102" s="9"/>
      <c r="C102" s="7"/>
      <c r="D102" s="8"/>
      <c r="E102" s="218"/>
      <c r="F102" s="218">
        <v>5.01</v>
      </c>
      <c r="G102" s="218"/>
      <c r="H102" s="218">
        <v>0.95</v>
      </c>
      <c r="I102" s="218"/>
      <c r="J102" s="218"/>
      <c r="K102" s="218"/>
      <c r="L102" s="218"/>
      <c r="M102" s="273">
        <f>F102*H102</f>
        <v>4.7594999999999992</v>
      </c>
    </row>
    <row r="103" spans="1:13" x14ac:dyDescent="0.2">
      <c r="A103" s="231"/>
      <c r="B103" s="9"/>
      <c r="C103" s="7"/>
      <c r="D103" s="8"/>
      <c r="E103" s="218"/>
      <c r="F103" s="218">
        <v>2.35</v>
      </c>
      <c r="G103" s="218"/>
      <c r="H103" s="218">
        <v>0.6</v>
      </c>
      <c r="I103" s="218"/>
      <c r="J103" s="218"/>
      <c r="K103" s="218"/>
      <c r="L103" s="218"/>
      <c r="M103" s="273">
        <f>F103*H103</f>
        <v>1.41</v>
      </c>
    </row>
    <row r="104" spans="1:13" x14ac:dyDescent="0.2">
      <c r="A104" s="231"/>
      <c r="B104" s="9"/>
      <c r="C104" s="7" t="s">
        <v>199</v>
      </c>
      <c r="D104" s="8"/>
      <c r="E104" s="218"/>
      <c r="F104" s="218"/>
      <c r="G104" s="218"/>
      <c r="H104" s="218"/>
      <c r="I104" s="218"/>
      <c r="J104" s="218"/>
      <c r="K104" s="218"/>
      <c r="L104" s="218"/>
      <c r="M104" s="273"/>
    </row>
    <row r="105" spans="1:13" x14ac:dyDescent="0.2">
      <c r="A105" s="231"/>
      <c r="B105" s="9"/>
      <c r="C105" s="7" t="s">
        <v>200</v>
      </c>
      <c r="D105" s="8"/>
      <c r="E105" s="218"/>
      <c r="F105" s="218"/>
      <c r="G105" s="218">
        <v>10.41</v>
      </c>
      <c r="H105" s="218"/>
      <c r="I105" s="218">
        <v>0.5</v>
      </c>
      <c r="J105" s="218"/>
      <c r="K105" s="218"/>
      <c r="L105" s="218"/>
      <c r="M105" s="273">
        <f>G105*I105</f>
        <v>5.2050000000000001</v>
      </c>
    </row>
    <row r="106" spans="1:13" x14ac:dyDescent="0.2">
      <c r="A106" s="231"/>
      <c r="B106" s="9"/>
      <c r="C106" s="7" t="s">
        <v>164</v>
      </c>
      <c r="D106" s="8"/>
      <c r="E106" s="218"/>
      <c r="F106" s="218"/>
      <c r="G106" s="218"/>
      <c r="H106" s="218"/>
      <c r="I106" s="218"/>
      <c r="J106" s="218"/>
      <c r="K106" s="218"/>
      <c r="L106" s="218"/>
      <c r="M106" s="273"/>
    </row>
    <row r="107" spans="1:13" x14ac:dyDescent="0.2">
      <c r="A107" s="231"/>
      <c r="B107" s="9"/>
      <c r="C107" s="7"/>
      <c r="D107" s="8"/>
      <c r="E107" s="218"/>
      <c r="F107" s="218">
        <v>3.3</v>
      </c>
      <c r="G107" s="218"/>
      <c r="H107" s="218">
        <v>0.6</v>
      </c>
      <c r="I107" s="218"/>
      <c r="J107" s="218"/>
      <c r="K107" s="218"/>
      <c r="L107" s="218"/>
      <c r="M107" s="273">
        <f>F107*H107</f>
        <v>1.9799999999999998</v>
      </c>
    </row>
    <row r="108" spans="1:13" x14ac:dyDescent="0.2">
      <c r="A108" s="231"/>
      <c r="B108" s="9"/>
      <c r="C108" s="7"/>
      <c r="D108" s="8"/>
      <c r="E108" s="218"/>
      <c r="F108" s="218">
        <v>2.04</v>
      </c>
      <c r="G108" s="218"/>
      <c r="H108" s="218">
        <v>0.6</v>
      </c>
      <c r="I108" s="218"/>
      <c r="J108" s="218"/>
      <c r="K108" s="218"/>
      <c r="L108" s="218"/>
      <c r="M108" s="273">
        <f>F108*H108</f>
        <v>1.224</v>
      </c>
    </row>
    <row r="109" spans="1:13" x14ac:dyDescent="0.2">
      <c r="A109" s="231"/>
      <c r="B109" s="9"/>
      <c r="C109" s="7" t="s">
        <v>201</v>
      </c>
      <c r="D109" s="8"/>
      <c r="E109" s="218"/>
      <c r="F109" s="218"/>
      <c r="G109" s="218"/>
      <c r="H109" s="218"/>
      <c r="I109" s="218"/>
      <c r="J109" s="218"/>
      <c r="K109" s="218"/>
      <c r="L109" s="218"/>
      <c r="M109" s="273"/>
    </row>
    <row r="110" spans="1:13" x14ac:dyDescent="0.2">
      <c r="A110" s="231"/>
      <c r="B110" s="9"/>
      <c r="C110" s="7" t="s">
        <v>202</v>
      </c>
      <c r="D110" s="8"/>
      <c r="E110" s="218"/>
      <c r="F110" s="218"/>
      <c r="G110" s="218">
        <v>8.64</v>
      </c>
      <c r="H110" s="218"/>
      <c r="I110" s="218">
        <v>0.5</v>
      </c>
      <c r="J110" s="218"/>
      <c r="K110" s="218"/>
      <c r="L110" s="218"/>
      <c r="M110" s="273">
        <f>G110*I110</f>
        <v>4.32</v>
      </c>
    </row>
    <row r="111" spans="1:13" x14ac:dyDescent="0.2">
      <c r="A111" s="231"/>
      <c r="B111" s="9"/>
      <c r="C111" s="7" t="s">
        <v>203</v>
      </c>
      <c r="D111" s="8"/>
      <c r="E111" s="218"/>
      <c r="F111" s="218"/>
      <c r="G111" s="218"/>
      <c r="H111" s="218"/>
      <c r="I111" s="218"/>
      <c r="J111" s="218"/>
      <c r="K111" s="218"/>
      <c r="L111" s="218"/>
      <c r="M111" s="273"/>
    </row>
    <row r="112" spans="1:13" x14ac:dyDescent="0.2">
      <c r="A112" s="231"/>
      <c r="B112" s="9"/>
      <c r="C112" s="7"/>
      <c r="D112" s="8"/>
      <c r="E112" s="218"/>
      <c r="F112" s="218">
        <v>13.19</v>
      </c>
      <c r="G112" s="218"/>
      <c r="H112" s="218">
        <v>0.6</v>
      </c>
      <c r="I112" s="218"/>
      <c r="J112" s="218"/>
      <c r="K112" s="218"/>
      <c r="L112" s="218"/>
      <c r="M112" s="273">
        <f>F112*H112</f>
        <v>7.9139999999999997</v>
      </c>
    </row>
    <row r="113" spans="1:13" x14ac:dyDescent="0.2">
      <c r="A113" s="231"/>
      <c r="B113" s="9"/>
      <c r="C113" s="7" t="s">
        <v>204</v>
      </c>
      <c r="D113" s="8"/>
      <c r="E113" s="218"/>
      <c r="F113" s="218"/>
      <c r="G113" s="218"/>
      <c r="H113" s="218"/>
      <c r="I113" s="218"/>
      <c r="J113" s="218"/>
      <c r="K113" s="218"/>
      <c r="L113" s="218"/>
      <c r="M113" s="273"/>
    </row>
    <row r="114" spans="1:13" x14ac:dyDescent="0.2">
      <c r="A114" s="231"/>
      <c r="B114" s="9"/>
      <c r="C114" s="7" t="s">
        <v>205</v>
      </c>
      <c r="D114" s="8"/>
      <c r="E114" s="218"/>
      <c r="F114" s="218"/>
      <c r="G114" s="218">
        <v>26.38</v>
      </c>
      <c r="H114" s="218"/>
      <c r="I114" s="218">
        <v>0.5</v>
      </c>
      <c r="J114" s="218"/>
      <c r="K114" s="218"/>
      <c r="L114" s="218"/>
      <c r="M114" s="273">
        <f>G114*I114</f>
        <v>13.19</v>
      </c>
    </row>
    <row r="115" spans="1:13" x14ac:dyDescent="0.2">
      <c r="A115" s="231"/>
      <c r="B115" s="9"/>
      <c r="C115" s="7" t="s">
        <v>206</v>
      </c>
      <c r="D115" s="8"/>
      <c r="E115" s="218"/>
      <c r="F115" s="218"/>
      <c r="G115" s="218"/>
      <c r="H115" s="218"/>
      <c r="I115" s="218"/>
      <c r="J115" s="218"/>
      <c r="K115" s="218"/>
      <c r="L115" s="218"/>
      <c r="M115" s="273"/>
    </row>
    <row r="116" spans="1:13" x14ac:dyDescent="0.2">
      <c r="A116" s="231"/>
      <c r="B116" s="9"/>
      <c r="C116" s="7"/>
      <c r="D116" s="8"/>
      <c r="E116" s="218"/>
      <c r="F116" s="218">
        <v>12.39</v>
      </c>
      <c r="G116" s="218"/>
      <c r="H116" s="218">
        <v>2.6</v>
      </c>
      <c r="I116" s="218"/>
      <c r="J116" s="218"/>
      <c r="K116" s="218"/>
      <c r="L116" s="218"/>
      <c r="M116" s="273">
        <f>F116*H116</f>
        <v>32.214000000000006</v>
      </c>
    </row>
    <row r="117" spans="1:13" x14ac:dyDescent="0.2">
      <c r="A117" s="231"/>
      <c r="B117" s="9"/>
      <c r="C117" s="7" t="s">
        <v>207</v>
      </c>
      <c r="D117" s="8"/>
      <c r="E117" s="218"/>
      <c r="F117" s="218"/>
      <c r="G117" s="218"/>
      <c r="H117" s="218"/>
      <c r="I117" s="218"/>
      <c r="J117" s="218"/>
      <c r="K117" s="218">
        <v>0.18</v>
      </c>
      <c r="L117" s="218"/>
      <c r="M117" s="273">
        <f>K117</f>
        <v>0.18</v>
      </c>
    </row>
    <row r="118" spans="1:13" x14ac:dyDescent="0.2">
      <c r="A118" s="231"/>
      <c r="B118" s="9"/>
      <c r="C118" s="7" t="s">
        <v>208</v>
      </c>
      <c r="D118" s="8"/>
      <c r="E118" s="218"/>
      <c r="F118" s="218"/>
      <c r="G118" s="218"/>
      <c r="H118" s="218"/>
      <c r="I118" s="218"/>
      <c r="J118" s="218"/>
      <c r="K118" s="218">
        <v>7.88</v>
      </c>
      <c r="L118" s="218"/>
      <c r="M118" s="273">
        <f>K118</f>
        <v>7.88</v>
      </c>
    </row>
    <row r="119" spans="1:13" x14ac:dyDescent="0.2">
      <c r="A119" s="231"/>
      <c r="B119" s="9"/>
      <c r="C119" s="7"/>
      <c r="D119" s="8"/>
      <c r="E119" s="218"/>
      <c r="F119" s="218">
        <v>0.4</v>
      </c>
      <c r="G119" s="218"/>
      <c r="H119" s="218">
        <v>1.7</v>
      </c>
      <c r="I119" s="218"/>
      <c r="J119" s="218"/>
      <c r="K119" s="218"/>
      <c r="L119" s="218"/>
      <c r="M119" s="273">
        <f>F119*H119</f>
        <v>0.68</v>
      </c>
    </row>
    <row r="120" spans="1:13" x14ac:dyDescent="0.2">
      <c r="A120" s="231"/>
      <c r="B120" s="9"/>
      <c r="C120" s="7"/>
      <c r="D120" s="8"/>
      <c r="E120" s="218"/>
      <c r="F120" s="218">
        <v>2</v>
      </c>
      <c r="G120" s="218"/>
      <c r="H120" s="218">
        <v>1.8</v>
      </c>
      <c r="I120" s="218"/>
      <c r="J120" s="218"/>
      <c r="K120" s="218"/>
      <c r="L120" s="218"/>
      <c r="M120" s="273">
        <f>F120*H120</f>
        <v>3.6</v>
      </c>
    </row>
    <row r="121" spans="1:13" x14ac:dyDescent="0.2">
      <c r="A121" s="231"/>
      <c r="B121" s="9"/>
      <c r="C121" s="7"/>
      <c r="D121" s="8"/>
      <c r="E121" s="218"/>
      <c r="F121" s="218"/>
      <c r="G121" s="218"/>
      <c r="H121" s="218"/>
      <c r="I121" s="218"/>
      <c r="J121" s="218"/>
      <c r="K121" s="218"/>
      <c r="L121" s="218"/>
      <c r="M121" s="273"/>
    </row>
    <row r="122" spans="1:13" x14ac:dyDescent="0.2">
      <c r="A122" s="231"/>
      <c r="B122" s="9"/>
      <c r="C122" s="7" t="s">
        <v>152</v>
      </c>
      <c r="D122" s="8"/>
      <c r="E122" s="218"/>
      <c r="F122" s="218"/>
      <c r="G122" s="218"/>
      <c r="H122" s="218"/>
      <c r="I122" s="218"/>
      <c r="J122" s="218"/>
      <c r="K122" s="218"/>
      <c r="L122" s="218"/>
      <c r="M122" s="273"/>
    </row>
    <row r="123" spans="1:13" x14ac:dyDescent="0.2">
      <c r="A123" s="231"/>
      <c r="B123" s="9"/>
      <c r="C123" s="7" t="s">
        <v>209</v>
      </c>
      <c r="D123" s="8"/>
      <c r="E123" s="218"/>
      <c r="F123" s="10"/>
      <c r="G123" s="10"/>
      <c r="H123" s="10"/>
      <c r="I123" s="218"/>
      <c r="J123" s="218"/>
      <c r="K123" s="218"/>
      <c r="L123" s="218"/>
      <c r="M123" s="273"/>
    </row>
    <row r="124" spans="1:13" x14ac:dyDescent="0.2">
      <c r="A124" s="231"/>
      <c r="B124" s="9"/>
      <c r="C124" s="7"/>
      <c r="D124" s="8"/>
      <c r="E124" s="218"/>
      <c r="F124" s="218">
        <v>8.65</v>
      </c>
      <c r="G124" s="218"/>
      <c r="H124" s="218">
        <v>1</v>
      </c>
      <c r="I124" s="218"/>
      <c r="J124" s="218"/>
      <c r="K124" s="218"/>
      <c r="L124" s="218"/>
      <c r="M124" s="273">
        <f>F124</f>
        <v>8.65</v>
      </c>
    </row>
    <row r="125" spans="1:13" x14ac:dyDescent="0.2">
      <c r="A125" s="231"/>
      <c r="B125" s="9"/>
      <c r="C125" s="7"/>
      <c r="D125" s="8"/>
      <c r="E125" s="218"/>
      <c r="F125" s="218">
        <v>7.95</v>
      </c>
      <c r="G125" s="218"/>
      <c r="H125" s="218">
        <v>1</v>
      </c>
      <c r="I125" s="218"/>
      <c r="J125" s="218"/>
      <c r="K125" s="218"/>
      <c r="L125" s="218"/>
      <c r="M125" s="273">
        <f>F125</f>
        <v>7.95</v>
      </c>
    </row>
    <row r="126" spans="1:13" x14ac:dyDescent="0.2">
      <c r="A126" s="231"/>
      <c r="B126" s="9"/>
      <c r="C126" s="7"/>
      <c r="D126" s="8"/>
      <c r="E126" s="218"/>
      <c r="F126" s="218">
        <v>1.8</v>
      </c>
      <c r="G126" s="218"/>
      <c r="H126" s="218">
        <v>0.7</v>
      </c>
      <c r="I126" s="218"/>
      <c r="J126" s="218"/>
      <c r="K126" s="218"/>
      <c r="L126" s="218"/>
      <c r="M126" s="273">
        <f>F126</f>
        <v>1.8</v>
      </c>
    </row>
    <row r="127" spans="1:13" x14ac:dyDescent="0.2">
      <c r="A127" s="231"/>
      <c r="B127" s="9"/>
      <c r="C127" s="7"/>
      <c r="D127" s="8"/>
      <c r="E127" s="218"/>
      <c r="F127" s="218">
        <v>2.85</v>
      </c>
      <c r="G127" s="218"/>
      <c r="H127" s="218">
        <v>1.8</v>
      </c>
      <c r="I127" s="218"/>
      <c r="J127" s="218"/>
      <c r="K127" s="218"/>
      <c r="L127" s="218"/>
      <c r="M127" s="273">
        <f>F127</f>
        <v>2.85</v>
      </c>
    </row>
    <row r="128" spans="1:13" x14ac:dyDescent="0.2">
      <c r="A128" s="231"/>
      <c r="B128" s="9"/>
      <c r="C128" s="7" t="s">
        <v>210</v>
      </c>
      <c r="D128" s="8"/>
      <c r="E128" s="218"/>
      <c r="F128" s="218"/>
      <c r="G128" s="218"/>
      <c r="H128" s="218"/>
      <c r="I128" s="218"/>
      <c r="J128" s="218"/>
      <c r="K128" s="218"/>
      <c r="L128" s="218"/>
      <c r="M128" s="273"/>
    </row>
    <row r="129" spans="1:13" ht="24" x14ac:dyDescent="0.2">
      <c r="A129" s="231"/>
      <c r="B129" s="9"/>
      <c r="C129" s="7" t="s">
        <v>211</v>
      </c>
      <c r="D129" s="8"/>
      <c r="E129" s="218"/>
      <c r="F129" s="218"/>
      <c r="G129" s="218">
        <v>19.59</v>
      </c>
      <c r="H129" s="218"/>
      <c r="I129" s="218">
        <v>0.45</v>
      </c>
      <c r="J129" s="218"/>
      <c r="K129" s="218"/>
      <c r="L129" s="218"/>
      <c r="M129" s="273">
        <f>G129*I129</f>
        <v>8.8155000000000001</v>
      </c>
    </row>
    <row r="130" spans="1:13" x14ac:dyDescent="0.2">
      <c r="A130" s="231"/>
      <c r="B130" s="9"/>
      <c r="C130" s="7" t="s">
        <v>212</v>
      </c>
      <c r="D130" s="8"/>
      <c r="E130" s="218"/>
      <c r="F130" s="218">
        <v>2.85</v>
      </c>
      <c r="G130" s="218"/>
      <c r="H130" s="218">
        <v>1.85</v>
      </c>
      <c r="I130" s="218"/>
      <c r="J130" s="218"/>
      <c r="K130" s="218"/>
      <c r="L130" s="218"/>
      <c r="M130" s="273">
        <f>F130*H130</f>
        <v>5.2725000000000009</v>
      </c>
    </row>
    <row r="131" spans="1:13" x14ac:dyDescent="0.2">
      <c r="A131" s="231"/>
      <c r="B131" s="9"/>
      <c r="C131" s="7" t="s">
        <v>213</v>
      </c>
      <c r="D131" s="8"/>
      <c r="E131" s="218"/>
      <c r="F131" s="218">
        <v>2.85</v>
      </c>
      <c r="G131" s="218"/>
      <c r="H131" s="218">
        <v>1.85</v>
      </c>
      <c r="I131" s="218"/>
      <c r="J131" s="218"/>
      <c r="K131" s="218"/>
      <c r="L131" s="218"/>
      <c r="M131" s="273">
        <f>F131*H131</f>
        <v>5.2725000000000009</v>
      </c>
    </row>
    <row r="132" spans="1:13" x14ac:dyDescent="0.2">
      <c r="A132" s="231"/>
      <c r="B132" s="9"/>
      <c r="C132" s="7" t="s">
        <v>214</v>
      </c>
      <c r="D132" s="8"/>
      <c r="E132" s="218"/>
      <c r="F132" s="218"/>
      <c r="G132" s="218"/>
      <c r="H132" s="218"/>
      <c r="I132" s="218"/>
      <c r="J132" s="218"/>
      <c r="K132" s="218"/>
      <c r="L132" s="218"/>
      <c r="M132" s="273"/>
    </row>
    <row r="133" spans="1:13" x14ac:dyDescent="0.2">
      <c r="A133" s="231"/>
      <c r="B133" s="9"/>
      <c r="C133" s="7"/>
      <c r="D133" s="8"/>
      <c r="E133" s="218"/>
      <c r="F133" s="218">
        <v>5.8</v>
      </c>
      <c r="G133" s="218"/>
      <c r="H133" s="218">
        <v>1.5</v>
      </c>
      <c r="I133" s="218"/>
      <c r="J133" s="218"/>
      <c r="K133" s="218"/>
      <c r="L133" s="218"/>
      <c r="M133" s="273">
        <f>F133</f>
        <v>5.8</v>
      </c>
    </row>
    <row r="134" spans="1:13" x14ac:dyDescent="0.2">
      <c r="A134" s="231"/>
      <c r="B134" s="9"/>
      <c r="C134" s="7"/>
      <c r="D134" s="8"/>
      <c r="E134" s="218"/>
      <c r="F134" s="218">
        <v>9.06</v>
      </c>
      <c r="G134" s="218"/>
      <c r="H134" s="218">
        <v>0.5</v>
      </c>
      <c r="I134" s="218"/>
      <c r="J134" s="218"/>
      <c r="K134" s="218"/>
      <c r="L134" s="218"/>
      <c r="M134" s="273">
        <f>F134</f>
        <v>9.06</v>
      </c>
    </row>
    <row r="135" spans="1:13" x14ac:dyDescent="0.2">
      <c r="A135" s="231"/>
      <c r="B135" s="9"/>
      <c r="C135" s="7"/>
      <c r="D135" s="8"/>
      <c r="E135" s="218"/>
      <c r="F135" s="218">
        <v>9.06</v>
      </c>
      <c r="G135" s="218"/>
      <c r="H135" s="218">
        <v>1</v>
      </c>
      <c r="I135" s="218"/>
      <c r="J135" s="218"/>
      <c r="K135" s="218"/>
      <c r="L135" s="218"/>
      <c r="M135" s="273">
        <f>F135</f>
        <v>9.06</v>
      </c>
    </row>
    <row r="136" spans="1:13" x14ac:dyDescent="0.2">
      <c r="A136" s="231"/>
      <c r="B136" s="9"/>
      <c r="C136" s="7" t="s">
        <v>215</v>
      </c>
      <c r="D136" s="8"/>
      <c r="E136" s="218"/>
      <c r="F136" s="218"/>
      <c r="G136" s="218"/>
      <c r="H136" s="218"/>
      <c r="I136" s="218"/>
      <c r="J136" s="218"/>
      <c r="K136" s="218"/>
      <c r="L136" s="218"/>
      <c r="M136" s="273"/>
    </row>
    <row r="137" spans="1:13" x14ac:dyDescent="0.2">
      <c r="A137" s="231"/>
      <c r="B137" s="9"/>
      <c r="C137" s="7" t="s">
        <v>216</v>
      </c>
      <c r="D137" s="8"/>
      <c r="E137" s="218"/>
      <c r="F137" s="218"/>
      <c r="G137" s="218">
        <v>23.04</v>
      </c>
      <c r="H137" s="218"/>
      <c r="I137" s="218">
        <v>0.45</v>
      </c>
      <c r="J137" s="218"/>
      <c r="K137" s="218"/>
      <c r="L137" s="218"/>
      <c r="M137" s="273">
        <f>G137*I137</f>
        <v>10.368</v>
      </c>
    </row>
    <row r="138" spans="1:13" x14ac:dyDescent="0.2">
      <c r="A138" s="231"/>
      <c r="B138" s="9"/>
      <c r="C138" s="7" t="s">
        <v>217</v>
      </c>
      <c r="D138" s="8"/>
      <c r="E138" s="218"/>
      <c r="F138" s="218"/>
      <c r="G138" s="218"/>
      <c r="H138" s="218"/>
      <c r="I138" s="218"/>
      <c r="J138" s="218">
        <v>54</v>
      </c>
      <c r="K138" s="218"/>
      <c r="L138" s="218"/>
      <c r="M138" s="273">
        <f>J138</f>
        <v>54</v>
      </c>
    </row>
    <row r="139" spans="1:13" x14ac:dyDescent="0.2">
      <c r="A139" s="231"/>
      <c r="B139" s="9"/>
      <c r="C139" s="7" t="s">
        <v>218</v>
      </c>
      <c r="D139" s="8"/>
      <c r="E139" s="218"/>
      <c r="F139" s="218"/>
      <c r="G139" s="218"/>
      <c r="H139" s="218"/>
      <c r="I139" s="218"/>
      <c r="J139" s="218"/>
      <c r="K139" s="218"/>
      <c r="L139" s="218"/>
      <c r="M139" s="273"/>
    </row>
    <row r="140" spans="1:13" x14ac:dyDescent="0.2">
      <c r="A140" s="231"/>
      <c r="B140" s="9"/>
      <c r="C140" s="7" t="s">
        <v>219</v>
      </c>
      <c r="D140" s="8"/>
      <c r="E140" s="218"/>
      <c r="F140" s="218"/>
      <c r="G140" s="218"/>
      <c r="H140" s="218"/>
      <c r="I140" s="218"/>
      <c r="J140" s="218"/>
      <c r="K140" s="218">
        <v>1.59</v>
      </c>
      <c r="L140" s="218"/>
      <c r="M140" s="273">
        <f>K140</f>
        <v>1.59</v>
      </c>
    </row>
    <row r="141" spans="1:13" x14ac:dyDescent="0.2">
      <c r="A141" s="231"/>
      <c r="B141" s="9"/>
      <c r="C141" s="7" t="s">
        <v>220</v>
      </c>
      <c r="D141" s="8"/>
      <c r="E141" s="218"/>
      <c r="F141" s="218"/>
      <c r="G141" s="218"/>
      <c r="H141" s="218"/>
      <c r="I141" s="218"/>
      <c r="J141" s="218"/>
      <c r="K141" s="218">
        <v>2.44</v>
      </c>
      <c r="L141" s="218"/>
      <c r="M141" s="273">
        <f>K141</f>
        <v>2.44</v>
      </c>
    </row>
    <row r="142" spans="1:13" x14ac:dyDescent="0.2">
      <c r="A142" s="231"/>
      <c r="B142" s="9"/>
      <c r="C142" s="7" t="s">
        <v>221</v>
      </c>
      <c r="D142" s="8"/>
      <c r="E142" s="218"/>
      <c r="F142" s="218"/>
      <c r="G142" s="218"/>
      <c r="H142" s="218"/>
      <c r="I142" s="218"/>
      <c r="J142" s="218"/>
      <c r="K142" s="218"/>
      <c r="L142" s="218"/>
      <c r="M142" s="273"/>
    </row>
    <row r="143" spans="1:13" x14ac:dyDescent="0.2">
      <c r="A143" s="231"/>
      <c r="B143" s="9"/>
      <c r="C143" s="7" t="s">
        <v>222</v>
      </c>
      <c r="D143" s="8"/>
      <c r="E143" s="218"/>
      <c r="F143" s="218"/>
      <c r="G143" s="218"/>
      <c r="H143" s="218"/>
      <c r="I143" s="218"/>
      <c r="J143" s="218"/>
      <c r="K143" s="218">
        <v>2.66</v>
      </c>
      <c r="L143" s="218"/>
      <c r="M143" s="273">
        <f>K143</f>
        <v>2.66</v>
      </c>
    </row>
    <row r="144" spans="1:13" x14ac:dyDescent="0.2">
      <c r="A144" s="231"/>
      <c r="B144" s="9"/>
      <c r="C144" s="7" t="s">
        <v>223</v>
      </c>
      <c r="D144" s="8"/>
      <c r="E144" s="218"/>
      <c r="F144" s="218"/>
      <c r="G144" s="218"/>
      <c r="H144" s="218"/>
      <c r="I144" s="218"/>
      <c r="J144" s="218"/>
      <c r="K144" s="218"/>
      <c r="L144" s="218"/>
      <c r="M144" s="273"/>
    </row>
    <row r="145" spans="1:13" x14ac:dyDescent="0.2">
      <c r="A145" s="231"/>
      <c r="B145" s="9"/>
      <c r="C145" s="7" t="s">
        <v>224</v>
      </c>
      <c r="D145" s="8"/>
      <c r="E145" s="218"/>
      <c r="F145" s="218"/>
      <c r="G145" s="218"/>
      <c r="H145" s="218"/>
      <c r="I145" s="218"/>
      <c r="J145" s="218"/>
      <c r="K145" s="218">
        <v>2.38</v>
      </c>
      <c r="L145" s="218"/>
      <c r="M145" s="273">
        <f>K145</f>
        <v>2.38</v>
      </c>
    </row>
    <row r="146" spans="1:13" x14ac:dyDescent="0.2">
      <c r="A146" s="231"/>
      <c r="B146" s="9"/>
      <c r="C146" s="7" t="s">
        <v>225</v>
      </c>
      <c r="D146" s="8"/>
      <c r="E146" s="218"/>
      <c r="F146" s="218"/>
      <c r="G146" s="218"/>
      <c r="H146" s="218"/>
      <c r="I146" s="218"/>
      <c r="J146" s="218"/>
      <c r="K146" s="218"/>
      <c r="L146" s="218"/>
      <c r="M146" s="273"/>
    </row>
    <row r="147" spans="1:13" x14ac:dyDescent="0.2">
      <c r="A147" s="231"/>
      <c r="B147" s="9"/>
      <c r="C147" s="7" t="s">
        <v>226</v>
      </c>
      <c r="D147" s="8"/>
      <c r="E147" s="218"/>
      <c r="F147" s="218"/>
      <c r="G147" s="218">
        <v>16.38</v>
      </c>
      <c r="H147" s="218"/>
      <c r="I147" s="218">
        <v>0.4</v>
      </c>
      <c r="J147" s="218"/>
      <c r="K147" s="218"/>
      <c r="L147" s="218"/>
      <c r="M147" s="273">
        <f>G147*I147</f>
        <v>6.5519999999999996</v>
      </c>
    </row>
    <row r="148" spans="1:13" x14ac:dyDescent="0.2">
      <c r="A148" s="231"/>
      <c r="B148" s="9"/>
      <c r="C148" s="7"/>
      <c r="D148" s="8"/>
      <c r="E148" s="218"/>
      <c r="F148" s="218"/>
      <c r="G148" s="218"/>
      <c r="H148" s="218"/>
      <c r="I148" s="218"/>
      <c r="J148" s="218"/>
      <c r="K148" s="218"/>
      <c r="L148" s="218"/>
      <c r="M148" s="273"/>
    </row>
    <row r="149" spans="1:13" ht="24" x14ac:dyDescent="0.2">
      <c r="A149" s="236" t="s">
        <v>41</v>
      </c>
      <c r="B149" s="344" t="s">
        <v>327</v>
      </c>
      <c r="C149" s="345" t="s">
        <v>42</v>
      </c>
      <c r="D149" s="348" t="s">
        <v>17</v>
      </c>
      <c r="E149" s="347"/>
      <c r="F149" s="347"/>
      <c r="G149" s="347"/>
      <c r="H149" s="347"/>
      <c r="I149" s="347"/>
      <c r="J149" s="347"/>
      <c r="K149" s="347"/>
      <c r="L149" s="347"/>
      <c r="M149" s="349">
        <f>SUM(M151:M160)</f>
        <v>137.577</v>
      </c>
    </row>
    <row r="150" spans="1:13" x14ac:dyDescent="0.2">
      <c r="A150" s="231"/>
      <c r="B150" s="9"/>
      <c r="C150" s="7" t="s">
        <v>150</v>
      </c>
      <c r="D150" s="8"/>
      <c r="E150" s="218"/>
      <c r="F150" s="218"/>
      <c r="G150" s="218"/>
      <c r="H150" s="218"/>
      <c r="I150" s="218"/>
      <c r="J150" s="218"/>
      <c r="K150" s="218"/>
      <c r="L150" s="218"/>
      <c r="M150" s="273"/>
    </row>
    <row r="151" spans="1:13" ht="24" x14ac:dyDescent="0.2">
      <c r="A151" s="231"/>
      <c r="B151" s="9"/>
      <c r="C151" s="7" t="s">
        <v>177</v>
      </c>
      <c r="D151" s="8"/>
      <c r="E151" s="218"/>
      <c r="F151" s="218"/>
      <c r="G151" s="218">
        <v>16.8</v>
      </c>
      <c r="H151" s="218"/>
      <c r="I151" s="218">
        <v>2.2999999999999998</v>
      </c>
      <c r="J151" s="218"/>
      <c r="K151" s="218"/>
      <c r="L151" s="218"/>
      <c r="M151" s="273">
        <f>G151*I151</f>
        <v>38.64</v>
      </c>
    </row>
    <row r="152" spans="1:13" x14ac:dyDescent="0.2">
      <c r="A152" s="231"/>
      <c r="B152" s="9"/>
      <c r="C152" s="7"/>
      <c r="D152" s="8"/>
      <c r="E152" s="218"/>
      <c r="F152" s="218"/>
      <c r="G152" s="218"/>
      <c r="H152" s="218"/>
      <c r="I152" s="218"/>
      <c r="J152" s="218"/>
      <c r="K152" s="218"/>
      <c r="L152" s="218"/>
      <c r="M152" s="273"/>
    </row>
    <row r="153" spans="1:13" x14ac:dyDescent="0.2">
      <c r="A153" s="231"/>
      <c r="B153" s="9"/>
      <c r="C153" s="7" t="s">
        <v>151</v>
      </c>
      <c r="D153" s="8"/>
      <c r="E153" s="218"/>
      <c r="F153" s="218"/>
      <c r="G153" s="218"/>
      <c r="H153" s="218"/>
      <c r="I153" s="218"/>
      <c r="J153" s="218"/>
      <c r="K153" s="218"/>
      <c r="L153" s="218"/>
      <c r="M153" s="273"/>
    </row>
    <row r="154" spans="1:13" x14ac:dyDescent="0.2">
      <c r="A154" s="231"/>
      <c r="B154" s="9"/>
      <c r="C154" s="7" t="s">
        <v>178</v>
      </c>
      <c r="D154" s="8"/>
      <c r="E154" s="218"/>
      <c r="F154" s="218"/>
      <c r="G154" s="218">
        <v>2</v>
      </c>
      <c r="H154" s="218"/>
      <c r="I154" s="218">
        <v>2.4</v>
      </c>
      <c r="J154" s="218"/>
      <c r="K154" s="218"/>
      <c r="L154" s="218"/>
      <c r="M154" s="273">
        <f>G154*I154</f>
        <v>4.8</v>
      </c>
    </row>
    <row r="155" spans="1:13" x14ac:dyDescent="0.2">
      <c r="A155" s="231"/>
      <c r="B155" s="9"/>
      <c r="C155" s="7"/>
      <c r="D155" s="8"/>
      <c r="E155" s="218"/>
      <c r="F155" s="218"/>
      <c r="G155" s="218"/>
      <c r="H155" s="218"/>
      <c r="I155" s="218"/>
      <c r="J155" s="218"/>
      <c r="K155" s="218"/>
      <c r="L155" s="218"/>
      <c r="M155" s="273"/>
    </row>
    <row r="156" spans="1:13" x14ac:dyDescent="0.2">
      <c r="A156" s="231"/>
      <c r="B156" s="9"/>
      <c r="C156" s="7" t="s">
        <v>179</v>
      </c>
      <c r="D156" s="8"/>
      <c r="E156" s="218"/>
      <c r="F156" s="218"/>
      <c r="G156" s="218"/>
      <c r="H156" s="218"/>
      <c r="I156" s="218"/>
      <c r="J156" s="218"/>
      <c r="K156" s="218"/>
      <c r="L156" s="218"/>
      <c r="M156" s="273"/>
    </row>
    <row r="157" spans="1:13" x14ac:dyDescent="0.2">
      <c r="A157" s="231"/>
      <c r="B157" s="9"/>
      <c r="C157" s="7" t="s">
        <v>180</v>
      </c>
      <c r="D157" s="8"/>
      <c r="E157" s="218"/>
      <c r="F157" s="218"/>
      <c r="G157" s="218">
        <v>13.19</v>
      </c>
      <c r="H157" s="218"/>
      <c r="I157" s="218">
        <v>1.9</v>
      </c>
      <c r="J157" s="218"/>
      <c r="K157" s="218"/>
      <c r="L157" s="218"/>
      <c r="M157" s="273">
        <f>G157*I157</f>
        <v>25.060999999999996</v>
      </c>
    </row>
    <row r="158" spans="1:13" x14ac:dyDescent="0.2">
      <c r="A158" s="231"/>
      <c r="B158" s="9"/>
      <c r="C158" s="7"/>
      <c r="D158" s="8"/>
      <c r="E158" s="218"/>
      <c r="F158" s="218"/>
      <c r="G158" s="218"/>
      <c r="H158" s="218"/>
      <c r="I158" s="218"/>
      <c r="J158" s="218"/>
      <c r="K158" s="218"/>
      <c r="L158" s="218"/>
      <c r="M158" s="273"/>
    </row>
    <row r="159" spans="1:13" x14ac:dyDescent="0.2">
      <c r="A159" s="231"/>
      <c r="B159" s="9"/>
      <c r="C159" s="7" t="s">
        <v>152</v>
      </c>
      <c r="D159" s="8"/>
      <c r="E159" s="218"/>
      <c r="F159" s="218"/>
      <c r="G159" s="218"/>
      <c r="H159" s="218"/>
      <c r="I159" s="218"/>
      <c r="J159" s="218"/>
      <c r="K159" s="218"/>
      <c r="L159" s="218"/>
      <c r="M159" s="273"/>
    </row>
    <row r="160" spans="1:13" ht="24" x14ac:dyDescent="0.2">
      <c r="A160" s="231"/>
      <c r="B160" s="9"/>
      <c r="C160" s="7" t="s">
        <v>182</v>
      </c>
      <c r="D160" s="8"/>
      <c r="E160" s="218"/>
      <c r="F160" s="218"/>
      <c r="G160" s="218">
        <v>24.67</v>
      </c>
      <c r="H160" s="218"/>
      <c r="I160" s="218">
        <v>2.8</v>
      </c>
      <c r="J160" s="218"/>
      <c r="K160" s="218"/>
      <c r="L160" s="218"/>
      <c r="M160" s="273">
        <f>G160*I160</f>
        <v>69.075999999999993</v>
      </c>
    </row>
    <row r="161" spans="1:13" x14ac:dyDescent="0.2">
      <c r="A161" s="231"/>
      <c r="B161" s="9"/>
      <c r="C161" s="7"/>
      <c r="D161" s="8"/>
      <c r="E161" s="218"/>
      <c r="F161" s="218"/>
      <c r="G161" s="218"/>
      <c r="H161" s="218"/>
      <c r="I161" s="218"/>
      <c r="J161" s="218"/>
      <c r="K161" s="218"/>
      <c r="L161" s="218"/>
      <c r="M161" s="273"/>
    </row>
    <row r="162" spans="1:13" ht="24" x14ac:dyDescent="0.2">
      <c r="A162" s="231" t="s">
        <v>43</v>
      </c>
      <c r="B162" s="9" t="s">
        <v>328</v>
      </c>
      <c r="C162" s="7" t="s">
        <v>44</v>
      </c>
      <c r="D162" s="17" t="s">
        <v>45</v>
      </c>
      <c r="E162" s="218"/>
      <c r="F162" s="218"/>
      <c r="G162" s="218"/>
      <c r="H162" s="218"/>
      <c r="I162" s="218"/>
      <c r="J162" s="218"/>
      <c r="K162" s="218"/>
      <c r="L162" s="218"/>
      <c r="M162" s="272">
        <f>SUM(M163:M180)</f>
        <v>121.22</v>
      </c>
    </row>
    <row r="163" spans="1:13" x14ac:dyDescent="0.2">
      <c r="A163" s="231"/>
      <c r="B163" s="9"/>
      <c r="C163" s="7" t="s">
        <v>150</v>
      </c>
      <c r="D163" s="8"/>
      <c r="E163" s="218"/>
      <c r="F163" s="218"/>
      <c r="G163" s="218">
        <v>15</v>
      </c>
      <c r="H163" s="218"/>
      <c r="I163" s="218"/>
      <c r="J163" s="218"/>
      <c r="K163" s="218"/>
      <c r="L163" s="218"/>
      <c r="M163" s="273">
        <f>G163</f>
        <v>15</v>
      </c>
    </row>
    <row r="164" spans="1:13" x14ac:dyDescent="0.2">
      <c r="A164" s="231"/>
      <c r="B164" s="9"/>
      <c r="C164" s="7"/>
      <c r="D164" s="8"/>
      <c r="E164" s="218"/>
      <c r="F164" s="218"/>
      <c r="G164" s="10"/>
      <c r="H164" s="10"/>
      <c r="I164" s="10"/>
      <c r="J164" s="10"/>
      <c r="K164" s="10"/>
      <c r="L164" s="10"/>
      <c r="M164" s="273"/>
    </row>
    <row r="165" spans="1:13" x14ac:dyDescent="0.2">
      <c r="A165" s="231"/>
      <c r="B165" s="9"/>
      <c r="C165" s="7" t="s">
        <v>151</v>
      </c>
      <c r="D165" s="8"/>
      <c r="E165" s="218"/>
      <c r="F165" s="218"/>
      <c r="G165" s="218"/>
      <c r="H165" s="218"/>
      <c r="I165" s="218"/>
      <c r="J165" s="218"/>
      <c r="K165" s="218"/>
      <c r="L165" s="218"/>
      <c r="M165" s="273"/>
    </row>
    <row r="166" spans="1:13" x14ac:dyDescent="0.2">
      <c r="A166" s="231"/>
      <c r="B166" s="9"/>
      <c r="C166" s="7" t="s">
        <v>159</v>
      </c>
      <c r="D166" s="8"/>
      <c r="E166" s="218"/>
      <c r="F166" s="218"/>
      <c r="G166" s="218"/>
      <c r="H166" s="218"/>
      <c r="I166" s="218"/>
      <c r="J166" s="218"/>
      <c r="K166" s="218"/>
      <c r="L166" s="218"/>
      <c r="M166" s="273"/>
    </row>
    <row r="167" spans="1:13" x14ac:dyDescent="0.2">
      <c r="A167" s="231"/>
      <c r="B167" s="9"/>
      <c r="C167" s="7" t="s">
        <v>184</v>
      </c>
      <c r="D167" s="8"/>
      <c r="E167" s="218"/>
      <c r="F167" s="218"/>
      <c r="G167" s="218">
        <v>17.100000000000001</v>
      </c>
      <c r="H167" s="218"/>
      <c r="I167" s="218"/>
      <c r="J167" s="218"/>
      <c r="K167" s="218"/>
      <c r="L167" s="218"/>
      <c r="M167" s="273">
        <f>G167</f>
        <v>17.100000000000001</v>
      </c>
    </row>
    <row r="168" spans="1:13" x14ac:dyDescent="0.2">
      <c r="A168" s="231"/>
      <c r="B168" s="9"/>
      <c r="C168" s="7" t="s">
        <v>158</v>
      </c>
      <c r="D168" s="8"/>
      <c r="E168" s="218"/>
      <c r="F168" s="218"/>
      <c r="G168" s="218"/>
      <c r="H168" s="218"/>
      <c r="I168" s="218"/>
      <c r="J168" s="218"/>
      <c r="K168" s="218"/>
      <c r="L168" s="218"/>
      <c r="M168" s="273"/>
    </row>
    <row r="169" spans="1:13" ht="24" x14ac:dyDescent="0.2">
      <c r="A169" s="231"/>
      <c r="B169" s="9"/>
      <c r="C169" s="7" t="s">
        <v>183</v>
      </c>
      <c r="D169" s="8"/>
      <c r="E169" s="218"/>
      <c r="F169" s="218"/>
      <c r="G169" s="218">
        <v>16.100000000000001</v>
      </c>
      <c r="H169" s="218"/>
      <c r="I169" s="218"/>
      <c r="J169" s="218"/>
      <c r="K169" s="218"/>
      <c r="L169" s="218"/>
      <c r="M169" s="273">
        <f>G169</f>
        <v>16.100000000000001</v>
      </c>
    </row>
    <row r="170" spans="1:13" x14ac:dyDescent="0.2">
      <c r="A170" s="231"/>
      <c r="B170" s="9"/>
      <c r="C170" s="7" t="s">
        <v>160</v>
      </c>
      <c r="D170" s="8"/>
      <c r="E170" s="218"/>
      <c r="F170" s="218"/>
      <c r="G170" s="218"/>
      <c r="H170" s="218"/>
      <c r="I170" s="218"/>
      <c r="J170" s="218"/>
      <c r="K170" s="218"/>
      <c r="L170" s="218"/>
      <c r="M170" s="273"/>
    </row>
    <row r="171" spans="1:13" x14ac:dyDescent="0.2">
      <c r="A171" s="231"/>
      <c r="B171" s="9"/>
      <c r="C171" s="7" t="s">
        <v>185</v>
      </c>
      <c r="D171" s="8"/>
      <c r="E171" s="218"/>
      <c r="F171" s="218"/>
      <c r="G171" s="218">
        <v>5.4</v>
      </c>
      <c r="H171" s="218"/>
      <c r="I171" s="218"/>
      <c r="J171" s="218"/>
      <c r="K171" s="218"/>
      <c r="L171" s="218"/>
      <c r="M171" s="273">
        <f>G171</f>
        <v>5.4</v>
      </c>
    </row>
    <row r="172" spans="1:13" x14ac:dyDescent="0.2">
      <c r="A172" s="231"/>
      <c r="B172" s="9"/>
      <c r="C172" s="7"/>
      <c r="D172" s="8"/>
      <c r="E172" s="218"/>
      <c r="F172" s="218"/>
      <c r="G172" s="218"/>
      <c r="H172" s="218"/>
      <c r="I172" s="218"/>
      <c r="J172" s="218"/>
      <c r="K172" s="218"/>
      <c r="L172" s="218"/>
      <c r="M172" s="273"/>
    </row>
    <row r="173" spans="1:13" x14ac:dyDescent="0.2">
      <c r="A173" s="231"/>
      <c r="B173" s="9"/>
      <c r="C173" s="7" t="s">
        <v>179</v>
      </c>
      <c r="D173" s="8"/>
      <c r="E173" s="218"/>
      <c r="F173" s="218"/>
      <c r="G173" s="218"/>
      <c r="H173" s="218"/>
      <c r="I173" s="218"/>
      <c r="J173" s="218"/>
      <c r="K173" s="218"/>
      <c r="L173" s="218"/>
      <c r="M173" s="273"/>
    </row>
    <row r="174" spans="1:13" x14ac:dyDescent="0.2">
      <c r="A174" s="231"/>
      <c r="B174" s="9"/>
      <c r="C174" s="7" t="s">
        <v>163</v>
      </c>
      <c r="D174" s="8"/>
      <c r="E174" s="218"/>
      <c r="F174" s="218"/>
      <c r="G174" s="218"/>
      <c r="H174" s="218"/>
      <c r="I174" s="218"/>
      <c r="J174" s="218"/>
      <c r="K174" s="218"/>
      <c r="L174" s="218"/>
      <c r="M174" s="273"/>
    </row>
    <row r="175" spans="1:13" x14ac:dyDescent="0.2">
      <c r="A175" s="231"/>
      <c r="B175" s="9"/>
      <c r="C175" s="7" t="s">
        <v>186</v>
      </c>
      <c r="D175" s="8"/>
      <c r="E175" s="218"/>
      <c r="F175" s="218"/>
      <c r="G175" s="218">
        <v>16.100000000000001</v>
      </c>
      <c r="H175" s="218"/>
      <c r="I175" s="218"/>
      <c r="J175" s="218"/>
      <c r="K175" s="218"/>
      <c r="L175" s="218"/>
      <c r="M175" s="273">
        <f>G175</f>
        <v>16.100000000000001</v>
      </c>
    </row>
    <row r="176" spans="1:13" x14ac:dyDescent="0.2">
      <c r="A176" s="231"/>
      <c r="B176" s="9"/>
      <c r="C176" s="7" t="s">
        <v>164</v>
      </c>
      <c r="D176" s="8"/>
      <c r="E176" s="218"/>
      <c r="F176" s="218"/>
      <c r="G176" s="218"/>
      <c r="H176" s="218"/>
      <c r="I176" s="218"/>
      <c r="J176" s="218"/>
      <c r="K176" s="218"/>
      <c r="L176" s="218"/>
      <c r="M176" s="273"/>
    </row>
    <row r="177" spans="1:13" x14ac:dyDescent="0.2">
      <c r="A177" s="231"/>
      <c r="B177" s="9"/>
      <c r="C177" s="7" t="s">
        <v>187</v>
      </c>
      <c r="D177" s="8"/>
      <c r="E177" s="218"/>
      <c r="F177" s="218"/>
      <c r="G177" s="218">
        <v>15.02</v>
      </c>
      <c r="H177" s="218"/>
      <c r="I177" s="218"/>
      <c r="J177" s="218"/>
      <c r="K177" s="218"/>
      <c r="L177" s="218"/>
      <c r="M177" s="273">
        <f>G177</f>
        <v>15.02</v>
      </c>
    </row>
    <row r="178" spans="1:13" x14ac:dyDescent="0.2">
      <c r="A178" s="231"/>
      <c r="B178" s="9"/>
      <c r="C178" s="7"/>
      <c r="D178" s="8"/>
      <c r="E178" s="218"/>
      <c r="F178" s="218"/>
      <c r="G178" s="218"/>
      <c r="H178" s="218"/>
      <c r="I178" s="218"/>
      <c r="J178" s="218"/>
      <c r="K178" s="218"/>
      <c r="L178" s="218"/>
      <c r="M178" s="273"/>
    </row>
    <row r="179" spans="1:13" x14ac:dyDescent="0.2">
      <c r="A179" s="231"/>
      <c r="B179" s="9"/>
      <c r="C179" s="7" t="s">
        <v>152</v>
      </c>
      <c r="D179" s="8"/>
      <c r="E179" s="218"/>
      <c r="F179" s="218"/>
      <c r="G179" s="218"/>
      <c r="H179" s="218"/>
      <c r="I179" s="218"/>
      <c r="J179" s="218"/>
      <c r="K179" s="218"/>
      <c r="L179" s="218"/>
      <c r="M179" s="273"/>
    </row>
    <row r="180" spans="1:13" ht="24" x14ac:dyDescent="0.2">
      <c r="A180" s="231"/>
      <c r="B180" s="9"/>
      <c r="C180" s="7" t="s">
        <v>227</v>
      </c>
      <c r="D180" s="8"/>
      <c r="E180" s="218"/>
      <c r="F180" s="218"/>
      <c r="G180" s="218">
        <v>36.5</v>
      </c>
      <c r="H180" s="218"/>
      <c r="I180" s="218"/>
      <c r="J180" s="218"/>
      <c r="K180" s="218"/>
      <c r="L180" s="218"/>
      <c r="M180" s="273">
        <f>G180</f>
        <v>36.5</v>
      </c>
    </row>
    <row r="181" spans="1:13" x14ac:dyDescent="0.2">
      <c r="A181" s="231"/>
      <c r="B181" s="9"/>
      <c r="C181" s="7"/>
      <c r="D181" s="8"/>
      <c r="E181" s="218"/>
      <c r="F181" s="218"/>
      <c r="G181" s="218"/>
      <c r="H181" s="218"/>
      <c r="I181" s="218"/>
      <c r="J181" s="218"/>
      <c r="K181" s="218"/>
      <c r="L181" s="218"/>
      <c r="M181" s="273"/>
    </row>
    <row r="182" spans="1:13" x14ac:dyDescent="0.2">
      <c r="A182" s="231" t="s">
        <v>46</v>
      </c>
      <c r="B182" s="9" t="s">
        <v>329</v>
      </c>
      <c r="C182" s="7" t="s">
        <v>47</v>
      </c>
      <c r="D182" s="17" t="s">
        <v>17</v>
      </c>
      <c r="E182" s="218"/>
      <c r="F182" s="218"/>
      <c r="G182" s="218"/>
      <c r="H182" s="218"/>
      <c r="I182" s="218"/>
      <c r="J182" s="218"/>
      <c r="K182" s="218"/>
      <c r="L182" s="218"/>
      <c r="M182" s="272">
        <f>SUM(M184:M186)</f>
        <v>31</v>
      </c>
    </row>
    <row r="183" spans="1:13" x14ac:dyDescent="0.2">
      <c r="A183" s="231"/>
      <c r="B183" s="9"/>
      <c r="C183" s="7"/>
      <c r="D183" s="17"/>
      <c r="E183" s="218"/>
      <c r="F183" s="218"/>
      <c r="G183" s="218"/>
      <c r="H183" s="218"/>
      <c r="I183" s="218"/>
      <c r="J183" s="218"/>
      <c r="K183" s="218"/>
      <c r="L183" s="218"/>
      <c r="M183" s="276"/>
    </row>
    <row r="184" spans="1:13" x14ac:dyDescent="0.2">
      <c r="A184" s="231"/>
      <c r="B184" s="9"/>
      <c r="C184" s="7" t="s">
        <v>150</v>
      </c>
      <c r="D184" s="8"/>
      <c r="E184" s="218"/>
      <c r="F184" s="218"/>
      <c r="G184" s="218">
        <v>6</v>
      </c>
      <c r="H184" s="218">
        <v>4</v>
      </c>
      <c r="I184" s="218"/>
      <c r="J184" s="218"/>
      <c r="K184" s="218"/>
      <c r="L184" s="218"/>
      <c r="M184" s="273">
        <f>G184*H184</f>
        <v>24</v>
      </c>
    </row>
    <row r="185" spans="1:13" x14ac:dyDescent="0.2">
      <c r="A185" s="231"/>
      <c r="B185" s="9"/>
      <c r="C185" s="7" t="s">
        <v>150</v>
      </c>
      <c r="D185" s="8"/>
      <c r="E185" s="218"/>
      <c r="F185" s="218"/>
      <c r="G185" s="218">
        <v>2</v>
      </c>
      <c r="H185" s="218">
        <v>2</v>
      </c>
      <c r="I185" s="218"/>
      <c r="J185" s="218"/>
      <c r="K185" s="218"/>
      <c r="L185" s="218"/>
      <c r="M185" s="273">
        <f>G185*H185</f>
        <v>4</v>
      </c>
    </row>
    <row r="186" spans="1:13" x14ac:dyDescent="0.2">
      <c r="A186" s="231"/>
      <c r="B186" s="9"/>
      <c r="C186" s="7" t="s">
        <v>188</v>
      </c>
      <c r="D186" s="8"/>
      <c r="E186" s="218"/>
      <c r="F186" s="218"/>
      <c r="G186" s="218">
        <v>3</v>
      </c>
      <c r="H186" s="218">
        <v>1</v>
      </c>
      <c r="I186" s="218"/>
      <c r="J186" s="218"/>
      <c r="K186" s="218"/>
      <c r="L186" s="218"/>
      <c r="M186" s="273">
        <f>G186*H186</f>
        <v>3</v>
      </c>
    </row>
    <row r="187" spans="1:13" x14ac:dyDescent="0.2">
      <c r="A187" s="231"/>
      <c r="B187" s="9"/>
      <c r="C187" s="7"/>
      <c r="D187" s="8"/>
      <c r="E187" s="218"/>
      <c r="F187" s="218"/>
      <c r="G187" s="218"/>
      <c r="H187" s="218"/>
      <c r="I187" s="218"/>
      <c r="J187" s="218"/>
      <c r="K187" s="218"/>
      <c r="L187" s="218"/>
      <c r="M187" s="273"/>
    </row>
    <row r="188" spans="1:13" ht="36" x14ac:dyDescent="0.2">
      <c r="A188" s="231" t="s">
        <v>70</v>
      </c>
      <c r="B188" s="9" t="s">
        <v>330</v>
      </c>
      <c r="C188" s="7" t="s">
        <v>273</v>
      </c>
      <c r="D188" s="17" t="s">
        <v>17</v>
      </c>
      <c r="E188" s="218"/>
      <c r="F188" s="218"/>
      <c r="G188" s="218"/>
      <c r="H188" s="218"/>
      <c r="I188" s="218"/>
      <c r="J188" s="218"/>
      <c r="K188" s="218"/>
      <c r="L188" s="218"/>
      <c r="M188" s="272">
        <f>SUM(M190:M191)</f>
        <v>59.31</v>
      </c>
    </row>
    <row r="189" spans="1:13" x14ac:dyDescent="0.2">
      <c r="A189" s="231"/>
      <c r="B189" s="9"/>
      <c r="C189" s="7" t="s">
        <v>209</v>
      </c>
      <c r="D189" s="8"/>
      <c r="E189" s="218"/>
      <c r="F189" s="218"/>
      <c r="G189" s="218"/>
      <c r="H189" s="218"/>
      <c r="I189" s="218"/>
      <c r="J189" s="218"/>
      <c r="K189" s="218"/>
      <c r="L189" s="218"/>
      <c r="M189" s="273"/>
    </row>
    <row r="190" spans="1:13" x14ac:dyDescent="0.2">
      <c r="A190" s="231"/>
      <c r="B190" s="9"/>
      <c r="C190" s="7" t="s">
        <v>228</v>
      </c>
      <c r="D190" s="8"/>
      <c r="E190" s="218"/>
      <c r="F190" s="218"/>
      <c r="G190" s="218"/>
      <c r="H190" s="218"/>
      <c r="I190" s="218"/>
      <c r="J190" s="218">
        <v>57.07</v>
      </c>
      <c r="K190" s="218"/>
      <c r="L190" s="218"/>
      <c r="M190" s="273">
        <f>J190</f>
        <v>57.07</v>
      </c>
    </row>
    <row r="191" spans="1:13" x14ac:dyDescent="0.2">
      <c r="A191" s="231"/>
      <c r="B191" s="9"/>
      <c r="C191" s="7" t="s">
        <v>229</v>
      </c>
      <c r="D191" s="8"/>
      <c r="E191" s="218"/>
      <c r="F191" s="218"/>
      <c r="G191" s="218">
        <v>5.6</v>
      </c>
      <c r="H191" s="218"/>
      <c r="I191" s="218">
        <v>0.4</v>
      </c>
      <c r="J191" s="218"/>
      <c r="K191" s="218"/>
      <c r="L191" s="218"/>
      <c r="M191" s="273">
        <f>G191*I191</f>
        <v>2.2399999999999998</v>
      </c>
    </row>
    <row r="192" spans="1:13" x14ac:dyDescent="0.2">
      <c r="A192" s="231"/>
      <c r="B192" s="9"/>
      <c r="C192" s="7"/>
      <c r="D192" s="8"/>
      <c r="E192" s="218"/>
      <c r="F192" s="218"/>
      <c r="G192" s="218"/>
      <c r="H192" s="218"/>
      <c r="I192" s="218"/>
      <c r="J192" s="218"/>
      <c r="K192" s="218"/>
      <c r="L192" s="218"/>
      <c r="M192" s="273"/>
    </row>
    <row r="193" spans="1:13" ht="24" x14ac:dyDescent="0.2">
      <c r="A193" s="231" t="s">
        <v>14</v>
      </c>
      <c r="B193" s="9" t="s">
        <v>331</v>
      </c>
      <c r="C193" s="7" t="s">
        <v>15</v>
      </c>
      <c r="D193" s="17" t="s">
        <v>16</v>
      </c>
      <c r="E193" s="218"/>
      <c r="F193" s="218"/>
      <c r="G193" s="218"/>
      <c r="H193" s="218"/>
      <c r="I193" s="218"/>
      <c r="J193" s="218"/>
      <c r="K193" s="218"/>
      <c r="L193" s="218"/>
      <c r="M193" s="272">
        <f>SUM(M195:M207)</f>
        <v>44</v>
      </c>
    </row>
    <row r="194" spans="1:13" x14ac:dyDescent="0.2">
      <c r="A194" s="231"/>
      <c r="B194" s="9"/>
      <c r="C194" s="7" t="s">
        <v>150</v>
      </c>
      <c r="D194" s="8"/>
      <c r="E194" s="218"/>
      <c r="F194" s="218"/>
      <c r="G194" s="218"/>
      <c r="H194" s="218"/>
      <c r="I194" s="218"/>
      <c r="J194" s="218"/>
      <c r="K194" s="218"/>
      <c r="L194" s="218"/>
      <c r="M194" s="273"/>
    </row>
    <row r="195" spans="1:13" x14ac:dyDescent="0.2">
      <c r="A195" s="231"/>
      <c r="B195" s="9"/>
      <c r="C195" s="7" t="s">
        <v>189</v>
      </c>
      <c r="D195" s="8"/>
      <c r="E195" s="218">
        <v>5</v>
      </c>
      <c r="F195" s="218"/>
      <c r="G195" s="218"/>
      <c r="H195" s="218"/>
      <c r="I195" s="218"/>
      <c r="J195" s="218"/>
      <c r="K195" s="218"/>
      <c r="L195" s="218"/>
      <c r="M195" s="273">
        <f>E195</f>
        <v>5</v>
      </c>
    </row>
    <row r="196" spans="1:13" x14ac:dyDescent="0.2">
      <c r="A196" s="231"/>
      <c r="B196" s="9"/>
      <c r="C196" s="7" t="s">
        <v>190</v>
      </c>
      <c r="D196" s="8"/>
      <c r="E196" s="218">
        <v>4</v>
      </c>
      <c r="F196" s="218"/>
      <c r="G196" s="218"/>
      <c r="H196" s="218"/>
      <c r="I196" s="218"/>
      <c r="J196" s="218"/>
      <c r="K196" s="218"/>
      <c r="L196" s="218"/>
      <c r="M196" s="273">
        <f>E196</f>
        <v>4</v>
      </c>
    </row>
    <row r="197" spans="1:13" x14ac:dyDescent="0.2">
      <c r="A197" s="231"/>
      <c r="B197" s="9"/>
      <c r="C197" s="7"/>
      <c r="D197" s="8"/>
      <c r="E197" s="218"/>
      <c r="F197" s="218"/>
      <c r="G197" s="218"/>
      <c r="H197" s="218"/>
      <c r="I197" s="218"/>
      <c r="J197" s="218"/>
      <c r="K197" s="218"/>
      <c r="L197" s="218"/>
      <c r="M197" s="273"/>
    </row>
    <row r="198" spans="1:13" x14ac:dyDescent="0.2">
      <c r="A198" s="231"/>
      <c r="B198" s="9"/>
      <c r="C198" s="7" t="s">
        <v>151</v>
      </c>
      <c r="D198" s="8"/>
      <c r="E198" s="218"/>
      <c r="F198" s="218"/>
      <c r="G198" s="218"/>
      <c r="H198" s="218"/>
      <c r="I198" s="218"/>
      <c r="J198" s="218"/>
      <c r="K198" s="218"/>
      <c r="L198" s="218"/>
      <c r="M198" s="273"/>
    </row>
    <row r="199" spans="1:13" x14ac:dyDescent="0.2">
      <c r="A199" s="231"/>
      <c r="B199" s="9"/>
      <c r="C199" s="7" t="s">
        <v>189</v>
      </c>
      <c r="D199" s="8"/>
      <c r="E199" s="218">
        <v>7</v>
      </c>
      <c r="F199" s="218"/>
      <c r="G199" s="218"/>
      <c r="H199" s="218"/>
      <c r="I199" s="218"/>
      <c r="J199" s="218"/>
      <c r="K199" s="218"/>
      <c r="L199" s="218"/>
      <c r="M199" s="273">
        <f>E199</f>
        <v>7</v>
      </c>
    </row>
    <row r="200" spans="1:13" x14ac:dyDescent="0.2">
      <c r="A200" s="231"/>
      <c r="B200" s="9"/>
      <c r="C200" s="7" t="s">
        <v>190</v>
      </c>
      <c r="D200" s="8"/>
      <c r="E200" s="218">
        <v>7</v>
      </c>
      <c r="F200" s="218"/>
      <c r="G200" s="218"/>
      <c r="H200" s="218"/>
      <c r="I200" s="218"/>
      <c r="J200" s="218"/>
      <c r="K200" s="218"/>
      <c r="L200" s="218"/>
      <c r="M200" s="273">
        <f>E200</f>
        <v>7</v>
      </c>
    </row>
    <row r="201" spans="1:13" x14ac:dyDescent="0.2">
      <c r="A201" s="231"/>
      <c r="B201" s="9"/>
      <c r="C201" s="7"/>
      <c r="D201" s="8"/>
      <c r="E201" s="218"/>
      <c r="F201" s="218"/>
      <c r="G201" s="218"/>
      <c r="H201" s="218"/>
      <c r="I201" s="218"/>
      <c r="J201" s="218"/>
      <c r="K201" s="218"/>
      <c r="L201" s="218"/>
      <c r="M201" s="273"/>
    </row>
    <row r="202" spans="1:13" x14ac:dyDescent="0.2">
      <c r="A202" s="231"/>
      <c r="B202" s="9"/>
      <c r="C202" s="7" t="s">
        <v>179</v>
      </c>
      <c r="D202" s="8"/>
      <c r="E202" s="218"/>
      <c r="F202" s="218"/>
      <c r="G202" s="218"/>
      <c r="H202" s="218"/>
      <c r="I202" s="218"/>
      <c r="J202" s="218"/>
      <c r="K202" s="218"/>
      <c r="L202" s="218"/>
      <c r="M202" s="273"/>
    </row>
    <row r="203" spans="1:13" x14ac:dyDescent="0.2">
      <c r="A203" s="231"/>
      <c r="B203" s="9"/>
      <c r="C203" s="7" t="s">
        <v>189</v>
      </c>
      <c r="D203" s="8"/>
      <c r="E203" s="218">
        <v>9</v>
      </c>
      <c r="F203" s="218"/>
      <c r="G203" s="218"/>
      <c r="H203" s="218"/>
      <c r="I203" s="218"/>
      <c r="J203" s="218"/>
      <c r="K203" s="218"/>
      <c r="L203" s="218"/>
      <c r="M203" s="273">
        <f>E203</f>
        <v>9</v>
      </c>
    </row>
    <row r="204" spans="1:13" x14ac:dyDescent="0.2">
      <c r="A204" s="231"/>
      <c r="B204" s="9"/>
      <c r="C204" s="7"/>
      <c r="D204" s="8"/>
      <c r="E204" s="218"/>
      <c r="F204" s="218"/>
      <c r="G204" s="218"/>
      <c r="H204" s="218"/>
      <c r="I204" s="218"/>
      <c r="J204" s="218"/>
      <c r="K204" s="218"/>
      <c r="L204" s="218"/>
      <c r="M204" s="273"/>
    </row>
    <row r="205" spans="1:13" x14ac:dyDescent="0.2">
      <c r="A205" s="231"/>
      <c r="B205" s="9"/>
      <c r="C205" s="7" t="s">
        <v>152</v>
      </c>
      <c r="D205" s="8"/>
      <c r="E205" s="218"/>
      <c r="F205" s="218"/>
      <c r="G205" s="218"/>
      <c r="H205" s="218"/>
      <c r="I205" s="218"/>
      <c r="J205" s="218"/>
      <c r="K205" s="218"/>
      <c r="L205" s="218"/>
      <c r="M205" s="273"/>
    </row>
    <row r="206" spans="1:13" x14ac:dyDescent="0.2">
      <c r="A206" s="231"/>
      <c r="B206" s="9"/>
      <c r="C206" s="7" t="s">
        <v>189</v>
      </c>
      <c r="D206" s="8"/>
      <c r="E206" s="218">
        <v>9</v>
      </c>
      <c r="F206" s="218"/>
      <c r="G206" s="218"/>
      <c r="H206" s="218"/>
      <c r="I206" s="218"/>
      <c r="J206" s="218"/>
      <c r="K206" s="218"/>
      <c r="L206" s="218"/>
      <c r="M206" s="273">
        <f>E206</f>
        <v>9</v>
      </c>
    </row>
    <row r="207" spans="1:13" x14ac:dyDescent="0.2">
      <c r="A207" s="231"/>
      <c r="B207" s="9"/>
      <c r="C207" s="7" t="s">
        <v>190</v>
      </c>
      <c r="D207" s="8"/>
      <c r="E207" s="218">
        <v>3</v>
      </c>
      <c r="F207" s="218"/>
      <c r="G207" s="218"/>
      <c r="H207" s="218"/>
      <c r="I207" s="218"/>
      <c r="J207" s="218"/>
      <c r="K207" s="218"/>
      <c r="L207" s="218"/>
      <c r="M207" s="273">
        <f>E207</f>
        <v>3</v>
      </c>
    </row>
    <row r="208" spans="1:13" x14ac:dyDescent="0.2">
      <c r="A208" s="231"/>
      <c r="B208" s="9"/>
      <c r="C208" s="7"/>
      <c r="D208" s="8"/>
      <c r="E208" s="218"/>
      <c r="F208" s="218"/>
      <c r="G208" s="218"/>
      <c r="H208" s="218"/>
      <c r="I208" s="218"/>
      <c r="J208" s="218"/>
      <c r="K208" s="218"/>
      <c r="L208" s="218"/>
      <c r="M208" s="273"/>
    </row>
    <row r="209" spans="1:13" ht="24" x14ac:dyDescent="0.2">
      <c r="A209" s="231">
        <v>97663</v>
      </c>
      <c r="B209" s="9" t="s">
        <v>332</v>
      </c>
      <c r="C209" s="7" t="s">
        <v>192</v>
      </c>
      <c r="D209" s="17" t="s">
        <v>16</v>
      </c>
      <c r="E209" s="218"/>
      <c r="F209" s="218"/>
      <c r="G209" s="218"/>
      <c r="H209" s="218"/>
      <c r="I209" s="218"/>
      <c r="J209" s="218"/>
      <c r="K209" s="218"/>
      <c r="L209" s="218"/>
      <c r="M209" s="272">
        <f>SUM(M210)</f>
        <v>5</v>
      </c>
    </row>
    <row r="210" spans="1:13" x14ac:dyDescent="0.2">
      <c r="A210" s="231"/>
      <c r="B210" s="9"/>
      <c r="C210" s="7" t="s">
        <v>151</v>
      </c>
      <c r="D210" s="8"/>
      <c r="E210" s="218">
        <v>5</v>
      </c>
      <c r="F210" s="218"/>
      <c r="G210" s="218"/>
      <c r="H210" s="218"/>
      <c r="I210" s="218"/>
      <c r="J210" s="218"/>
      <c r="K210" s="218"/>
      <c r="L210" s="218"/>
      <c r="M210" s="273">
        <f>E210</f>
        <v>5</v>
      </c>
    </row>
    <row r="211" spans="1:13" x14ac:dyDescent="0.2">
      <c r="A211" s="231"/>
      <c r="B211" s="9"/>
      <c r="C211" s="7"/>
      <c r="D211" s="8"/>
      <c r="E211" s="218"/>
      <c r="F211" s="218"/>
      <c r="G211" s="218"/>
      <c r="H211" s="218"/>
      <c r="I211" s="218"/>
      <c r="J211" s="218"/>
      <c r="K211" s="218"/>
      <c r="L211" s="218"/>
      <c r="M211" s="273"/>
    </row>
    <row r="212" spans="1:13" x14ac:dyDescent="0.2">
      <c r="A212" s="231" t="s">
        <v>48</v>
      </c>
      <c r="B212" s="9" t="s">
        <v>333</v>
      </c>
      <c r="C212" s="7" t="s">
        <v>49</v>
      </c>
      <c r="D212" s="17" t="s">
        <v>16</v>
      </c>
      <c r="E212" s="218"/>
      <c r="F212" s="218"/>
      <c r="G212" s="218"/>
      <c r="H212" s="218"/>
      <c r="I212" s="218"/>
      <c r="J212" s="218"/>
      <c r="K212" s="218"/>
      <c r="L212" s="218"/>
      <c r="M212" s="272">
        <f>SUM(M214:M216)</f>
        <v>14</v>
      </c>
    </row>
    <row r="213" spans="1:13" x14ac:dyDescent="0.2">
      <c r="A213" s="231"/>
      <c r="B213" s="9"/>
      <c r="C213" s="7"/>
      <c r="D213" s="17"/>
      <c r="E213" s="218"/>
      <c r="F213" s="218"/>
      <c r="G213" s="218"/>
      <c r="H213" s="218"/>
      <c r="I213" s="218"/>
      <c r="J213" s="218"/>
      <c r="K213" s="218"/>
      <c r="L213" s="218"/>
      <c r="M213" s="277"/>
    </row>
    <row r="214" spans="1:13" x14ac:dyDescent="0.2">
      <c r="A214" s="231"/>
      <c r="B214" s="9"/>
      <c r="C214" s="7" t="s">
        <v>150</v>
      </c>
      <c r="D214" s="8"/>
      <c r="E214" s="218">
        <v>4</v>
      </c>
      <c r="F214" s="218"/>
      <c r="G214" s="218"/>
      <c r="H214" s="218"/>
      <c r="I214" s="218"/>
      <c r="J214" s="218"/>
      <c r="K214" s="218"/>
      <c r="L214" s="218"/>
      <c r="M214" s="273">
        <f>E214</f>
        <v>4</v>
      </c>
    </row>
    <row r="215" spans="1:13" x14ac:dyDescent="0.2">
      <c r="A215" s="231"/>
      <c r="B215" s="9"/>
      <c r="C215" s="7" t="s">
        <v>151</v>
      </c>
      <c r="D215" s="8"/>
      <c r="E215" s="218">
        <v>5</v>
      </c>
      <c r="F215" s="218"/>
      <c r="G215" s="218"/>
      <c r="H215" s="218"/>
      <c r="I215" s="218"/>
      <c r="J215" s="218"/>
      <c r="K215" s="218"/>
      <c r="L215" s="218"/>
      <c r="M215" s="273">
        <f>E215</f>
        <v>5</v>
      </c>
    </row>
    <row r="216" spans="1:13" x14ac:dyDescent="0.2">
      <c r="A216" s="231"/>
      <c r="B216" s="9"/>
      <c r="C216" s="7" t="s">
        <v>152</v>
      </c>
      <c r="D216" s="8"/>
      <c r="E216" s="218">
        <v>5</v>
      </c>
      <c r="F216" s="218"/>
      <c r="G216" s="218"/>
      <c r="H216" s="218"/>
      <c r="I216" s="218"/>
      <c r="J216" s="218"/>
      <c r="K216" s="218"/>
      <c r="L216" s="218"/>
      <c r="M216" s="273">
        <f>E216</f>
        <v>5</v>
      </c>
    </row>
    <row r="217" spans="1:13" x14ac:dyDescent="0.2">
      <c r="A217" s="231"/>
      <c r="B217" s="9"/>
      <c r="C217" s="7"/>
      <c r="D217" s="8"/>
      <c r="E217" s="218"/>
      <c r="F217" s="218"/>
      <c r="G217" s="218"/>
      <c r="H217" s="218"/>
      <c r="I217" s="218"/>
      <c r="J217" s="218"/>
      <c r="K217" s="218"/>
      <c r="L217" s="218"/>
      <c r="M217" s="273"/>
    </row>
    <row r="218" spans="1:13" ht="24" x14ac:dyDescent="0.2">
      <c r="A218" s="231" t="s">
        <v>50</v>
      </c>
      <c r="B218" s="9" t="s">
        <v>334</v>
      </c>
      <c r="C218" s="7" t="s">
        <v>51</v>
      </c>
      <c r="D218" s="17" t="s">
        <v>45</v>
      </c>
      <c r="E218" s="218"/>
      <c r="F218" s="218"/>
      <c r="G218" s="218"/>
      <c r="H218" s="218"/>
      <c r="I218" s="218"/>
      <c r="J218" s="218"/>
      <c r="K218" s="218"/>
      <c r="L218" s="218"/>
      <c r="M218" s="272">
        <f>SUM(M220,M223)</f>
        <v>8.74</v>
      </c>
    </row>
    <row r="219" spans="1:13" x14ac:dyDescent="0.2">
      <c r="A219" s="231"/>
      <c r="B219" s="9"/>
      <c r="C219" s="7" t="s">
        <v>150</v>
      </c>
      <c r="D219" s="8"/>
      <c r="E219" s="218"/>
      <c r="F219" s="218"/>
      <c r="G219" s="218"/>
      <c r="H219" s="218"/>
      <c r="I219" s="218"/>
      <c r="J219" s="218"/>
      <c r="K219" s="218"/>
      <c r="L219" s="218"/>
      <c r="M219" s="273"/>
    </row>
    <row r="220" spans="1:13" x14ac:dyDescent="0.2">
      <c r="A220" s="236"/>
      <c r="B220" s="344"/>
      <c r="C220" s="345" t="s">
        <v>191</v>
      </c>
      <c r="D220" s="346"/>
      <c r="E220" s="347"/>
      <c r="F220" s="347"/>
      <c r="G220" s="347">
        <v>4.54</v>
      </c>
      <c r="H220" s="347"/>
      <c r="I220" s="347"/>
      <c r="J220" s="347"/>
      <c r="K220" s="347"/>
      <c r="L220" s="347"/>
      <c r="M220" s="342">
        <f>G220</f>
        <v>4.54</v>
      </c>
    </row>
    <row r="221" spans="1:13" x14ac:dyDescent="0.2">
      <c r="A221" s="231"/>
      <c r="B221" s="9"/>
      <c r="C221" s="7"/>
      <c r="D221" s="8"/>
      <c r="E221" s="218"/>
      <c r="F221" s="218"/>
      <c r="G221" s="218"/>
      <c r="H221" s="218"/>
      <c r="I221" s="218"/>
      <c r="J221" s="218"/>
      <c r="K221" s="218"/>
      <c r="L221" s="218"/>
      <c r="M221" s="273"/>
    </row>
    <row r="222" spans="1:13" x14ac:dyDescent="0.2">
      <c r="A222" s="231"/>
      <c r="B222" s="9"/>
      <c r="C222" s="7" t="s">
        <v>152</v>
      </c>
      <c r="D222" s="8"/>
      <c r="E222" s="218"/>
      <c r="F222" s="218"/>
      <c r="G222" s="218"/>
      <c r="H222" s="218"/>
      <c r="I222" s="218"/>
      <c r="J222" s="218"/>
      <c r="K222" s="218"/>
      <c r="L222" s="218"/>
      <c r="M222" s="273"/>
    </row>
    <row r="223" spans="1:13" x14ac:dyDescent="0.2">
      <c r="A223" s="231"/>
      <c r="B223" s="9"/>
      <c r="C223" s="7" t="s">
        <v>230</v>
      </c>
      <c r="D223" s="8"/>
      <c r="E223" s="218"/>
      <c r="F223" s="218"/>
      <c r="G223" s="218">
        <v>4.2</v>
      </c>
      <c r="H223" s="218"/>
      <c r="I223" s="218"/>
      <c r="J223" s="218"/>
      <c r="K223" s="218"/>
      <c r="L223" s="218"/>
      <c r="M223" s="273">
        <f>G223</f>
        <v>4.2</v>
      </c>
    </row>
    <row r="224" spans="1:13" x14ac:dyDescent="0.2">
      <c r="A224" s="231"/>
      <c r="B224" s="9"/>
      <c r="C224" s="7"/>
      <c r="D224" s="8"/>
      <c r="E224" s="218"/>
      <c r="F224" s="218"/>
      <c r="G224" s="218"/>
      <c r="H224" s="218"/>
      <c r="I224" s="218"/>
      <c r="J224" s="218"/>
      <c r="K224" s="218"/>
      <c r="L224" s="218"/>
      <c r="M224" s="273"/>
    </row>
    <row r="225" spans="1:13" ht="24" x14ac:dyDescent="0.2">
      <c r="A225" s="231" t="s">
        <v>172</v>
      </c>
      <c r="B225" s="9" t="s">
        <v>335</v>
      </c>
      <c r="C225" s="7" t="s">
        <v>173</v>
      </c>
      <c r="D225" s="17" t="s">
        <v>17</v>
      </c>
      <c r="E225" s="218"/>
      <c r="F225" s="218"/>
      <c r="G225" s="218"/>
      <c r="H225" s="218"/>
      <c r="I225" s="218"/>
      <c r="J225" s="218"/>
      <c r="K225" s="218"/>
      <c r="L225" s="218"/>
      <c r="M225" s="272">
        <f>SUM(M227:M232)</f>
        <v>55.899999999999991</v>
      </c>
    </row>
    <row r="226" spans="1:13" x14ac:dyDescent="0.2">
      <c r="A226" s="231"/>
      <c r="B226" s="9"/>
      <c r="C226" s="7"/>
      <c r="D226" s="17"/>
      <c r="E226" s="218"/>
      <c r="F226" s="218"/>
      <c r="G226" s="218"/>
      <c r="H226" s="218"/>
      <c r="I226" s="218"/>
      <c r="J226" s="218"/>
      <c r="K226" s="218"/>
      <c r="L226" s="218"/>
      <c r="M226" s="277"/>
    </row>
    <row r="227" spans="1:13" x14ac:dyDescent="0.2">
      <c r="A227" s="231"/>
      <c r="B227" s="9"/>
      <c r="C227" s="7" t="s">
        <v>231</v>
      </c>
      <c r="D227" s="8"/>
      <c r="E227" s="218"/>
      <c r="F227" s="218"/>
      <c r="G227" s="218"/>
      <c r="H227" s="218"/>
      <c r="I227" s="218"/>
      <c r="J227" s="218"/>
      <c r="K227" s="218"/>
      <c r="L227" s="218"/>
      <c r="M227" s="273">
        <f>SUM(M228:M230)</f>
        <v>23.259999999999998</v>
      </c>
    </row>
    <row r="228" spans="1:13" x14ac:dyDescent="0.2">
      <c r="A228" s="231"/>
      <c r="B228" s="9"/>
      <c r="C228" s="7" t="s">
        <v>232</v>
      </c>
      <c r="D228" s="8"/>
      <c r="E228" s="218"/>
      <c r="F228" s="218"/>
      <c r="G228" s="218">
        <v>7.28</v>
      </c>
      <c r="H228" s="218"/>
      <c r="I228" s="218">
        <v>2</v>
      </c>
      <c r="J228" s="218"/>
      <c r="K228" s="218"/>
      <c r="L228" s="218"/>
      <c r="M228" s="273">
        <f>G228*I228</f>
        <v>14.56</v>
      </c>
    </row>
    <row r="229" spans="1:13" x14ac:dyDescent="0.2">
      <c r="A229" s="231"/>
      <c r="B229" s="9"/>
      <c r="C229" s="7" t="s">
        <v>233</v>
      </c>
      <c r="D229" s="8"/>
      <c r="E229" s="218"/>
      <c r="F229" s="218"/>
      <c r="G229" s="218"/>
      <c r="H229" s="218"/>
      <c r="I229" s="218"/>
      <c r="J229" s="218">
        <v>4.2300000000000004</v>
      </c>
      <c r="K229" s="218"/>
      <c r="L229" s="218"/>
      <c r="M229" s="273">
        <f>J229</f>
        <v>4.2300000000000004</v>
      </c>
    </row>
    <row r="230" spans="1:13" x14ac:dyDescent="0.2">
      <c r="A230" s="231"/>
      <c r="B230" s="9"/>
      <c r="C230" s="7" t="s">
        <v>234</v>
      </c>
      <c r="D230" s="8"/>
      <c r="E230" s="218"/>
      <c r="F230" s="218"/>
      <c r="G230" s="218">
        <v>14.9</v>
      </c>
      <c r="H230" s="218"/>
      <c r="I230" s="218">
        <v>0.3</v>
      </c>
      <c r="J230" s="218"/>
      <c r="K230" s="218"/>
      <c r="L230" s="218"/>
      <c r="M230" s="273">
        <f>G230*I230</f>
        <v>4.47</v>
      </c>
    </row>
    <row r="231" spans="1:13" x14ac:dyDescent="0.2">
      <c r="A231" s="231"/>
      <c r="B231" s="9"/>
      <c r="C231" s="7" t="s">
        <v>235</v>
      </c>
      <c r="D231" s="8"/>
      <c r="E231" s="218"/>
      <c r="F231" s="218">
        <v>2.65</v>
      </c>
      <c r="G231" s="218"/>
      <c r="H231" s="218"/>
      <c r="I231" s="218">
        <v>2.2000000000000002</v>
      </c>
      <c r="J231" s="218"/>
      <c r="K231" s="218"/>
      <c r="L231" s="218"/>
      <c r="M231" s="273">
        <f>F231*I231</f>
        <v>5.83</v>
      </c>
    </row>
    <row r="232" spans="1:13" x14ac:dyDescent="0.2">
      <c r="A232" s="231"/>
      <c r="B232" s="9"/>
      <c r="C232" s="7" t="s">
        <v>152</v>
      </c>
      <c r="D232" s="8"/>
      <c r="E232" s="218"/>
      <c r="F232" s="218">
        <v>3.55</v>
      </c>
      <c r="G232" s="218"/>
      <c r="H232" s="218"/>
      <c r="I232" s="218">
        <v>1</v>
      </c>
      <c r="J232" s="218"/>
      <c r="K232" s="218"/>
      <c r="L232" s="218"/>
      <c r="M232" s="273">
        <f>F232*I232</f>
        <v>3.55</v>
      </c>
    </row>
    <row r="233" spans="1:13" x14ac:dyDescent="0.2">
      <c r="A233" s="231"/>
      <c r="B233" s="9"/>
      <c r="C233" s="7"/>
      <c r="D233" s="8"/>
      <c r="E233" s="218"/>
      <c r="F233" s="218"/>
      <c r="G233" s="218"/>
      <c r="H233" s="218"/>
      <c r="I233" s="218"/>
      <c r="J233" s="218"/>
      <c r="K233" s="218"/>
      <c r="L233" s="218"/>
      <c r="M233" s="273"/>
    </row>
    <row r="234" spans="1:13" x14ac:dyDescent="0.2">
      <c r="A234" s="274"/>
      <c r="B234" s="29" t="s">
        <v>6</v>
      </c>
      <c r="C234" s="30" t="s">
        <v>59</v>
      </c>
      <c r="D234" s="31"/>
      <c r="E234" s="31"/>
      <c r="F234" s="31"/>
      <c r="G234" s="31"/>
      <c r="H234" s="31"/>
      <c r="I234" s="31"/>
      <c r="J234" s="31"/>
      <c r="K234" s="31"/>
      <c r="L234" s="31"/>
      <c r="M234" s="275"/>
    </row>
    <row r="235" spans="1:13" ht="120" x14ac:dyDescent="0.2">
      <c r="A235" s="231" t="s">
        <v>60</v>
      </c>
      <c r="B235" s="9" t="s">
        <v>303</v>
      </c>
      <c r="C235" s="7" t="s">
        <v>274</v>
      </c>
      <c r="D235" s="17" t="s">
        <v>61</v>
      </c>
      <c r="E235" s="218"/>
      <c r="F235" s="218"/>
      <c r="G235" s="218"/>
      <c r="H235" s="218"/>
      <c r="I235" s="218"/>
      <c r="J235" s="218"/>
      <c r="K235" s="218"/>
      <c r="L235" s="218"/>
      <c r="M235" s="272">
        <f>SUM(M236)</f>
        <v>760.72499999999991</v>
      </c>
    </row>
    <row r="236" spans="1:13" x14ac:dyDescent="0.2">
      <c r="A236" s="231"/>
      <c r="B236" s="9"/>
      <c r="C236" s="7"/>
      <c r="D236" s="8"/>
      <c r="E236" s="218">
        <v>5</v>
      </c>
      <c r="F236" s="218">
        <v>20.7</v>
      </c>
      <c r="G236" s="218"/>
      <c r="H236" s="218"/>
      <c r="I236" s="218">
        <v>7.35</v>
      </c>
      <c r="J236" s="218"/>
      <c r="K236" s="218"/>
      <c r="L236" s="218"/>
      <c r="M236" s="273">
        <f>E236*F236*I236</f>
        <v>760.72499999999991</v>
      </c>
    </row>
    <row r="237" spans="1:13" x14ac:dyDescent="0.2">
      <c r="A237" s="236"/>
      <c r="B237" s="16"/>
      <c r="C237" s="129"/>
      <c r="D237" s="221"/>
      <c r="E237" s="214"/>
      <c r="F237" s="214"/>
      <c r="G237" s="214"/>
      <c r="H237" s="214"/>
      <c r="I237" s="214"/>
      <c r="J237" s="214"/>
      <c r="K237" s="214"/>
      <c r="L237" s="214"/>
      <c r="M237" s="339"/>
    </row>
    <row r="238" spans="1:13" ht="48" x14ac:dyDescent="0.2">
      <c r="A238" s="231" t="s">
        <v>62</v>
      </c>
      <c r="B238" s="9" t="s">
        <v>336</v>
      </c>
      <c r="C238" s="7" t="s">
        <v>275</v>
      </c>
      <c r="D238" s="17" t="s">
        <v>63</v>
      </c>
      <c r="E238" s="218"/>
      <c r="F238" s="218"/>
      <c r="G238" s="218"/>
      <c r="H238" s="218"/>
      <c r="I238" s="218"/>
      <c r="J238" s="218"/>
      <c r="K238" s="218"/>
      <c r="L238" s="218"/>
      <c r="M238" s="272">
        <f>SUM(M239)</f>
        <v>7607.25</v>
      </c>
    </row>
    <row r="239" spans="1:13" x14ac:dyDescent="0.2">
      <c r="A239" s="231"/>
      <c r="B239" s="9"/>
      <c r="C239" s="7"/>
      <c r="D239" s="17"/>
      <c r="E239" s="218"/>
      <c r="F239" s="218">
        <v>20.7</v>
      </c>
      <c r="G239" s="218">
        <v>50</v>
      </c>
      <c r="H239" s="218"/>
      <c r="I239" s="218">
        <v>7.35</v>
      </c>
      <c r="J239" s="218"/>
      <c r="K239" s="218"/>
      <c r="L239" s="218"/>
      <c r="M239" s="273">
        <f>F239*G239*I239</f>
        <v>7607.25</v>
      </c>
    </row>
    <row r="240" spans="1:13" x14ac:dyDescent="0.2">
      <c r="A240" s="231"/>
      <c r="B240" s="9"/>
      <c r="C240" s="7"/>
      <c r="D240" s="8"/>
      <c r="E240" s="218"/>
      <c r="F240" s="218"/>
      <c r="G240" s="218"/>
      <c r="H240" s="218"/>
      <c r="I240" s="218"/>
      <c r="J240" s="218"/>
      <c r="K240" s="218"/>
      <c r="L240" s="218"/>
      <c r="M240" s="273"/>
    </row>
    <row r="241" spans="1:13" x14ac:dyDescent="0.2">
      <c r="A241" s="231"/>
      <c r="B241" s="9"/>
      <c r="C241" s="7"/>
      <c r="D241" s="8"/>
      <c r="E241" s="218"/>
      <c r="F241" s="218"/>
      <c r="G241" s="218"/>
      <c r="H241" s="218"/>
      <c r="I241" s="218"/>
      <c r="J241" s="218"/>
      <c r="K241" s="218"/>
      <c r="L241" s="218"/>
      <c r="M241" s="273"/>
    </row>
    <row r="242" spans="1:13" ht="36" x14ac:dyDescent="0.2">
      <c r="A242" s="231" t="s">
        <v>64</v>
      </c>
      <c r="B242" s="9" t="s">
        <v>337</v>
      </c>
      <c r="C242" s="7" t="s">
        <v>276</v>
      </c>
      <c r="D242" s="17" t="s">
        <v>17</v>
      </c>
      <c r="E242" s="218"/>
      <c r="F242" s="218"/>
      <c r="G242" s="218"/>
      <c r="H242" s="218"/>
      <c r="I242" s="218"/>
      <c r="J242" s="218"/>
      <c r="K242" s="218"/>
      <c r="L242" s="218"/>
      <c r="M242" s="272">
        <f>SUM(M243)</f>
        <v>152.14499999999998</v>
      </c>
    </row>
    <row r="243" spans="1:13" x14ac:dyDescent="0.2">
      <c r="A243" s="231"/>
      <c r="B243" s="9"/>
      <c r="C243" s="7"/>
      <c r="D243" s="17"/>
      <c r="E243" s="218"/>
      <c r="F243" s="218">
        <v>20.7</v>
      </c>
      <c r="G243" s="218"/>
      <c r="H243" s="218"/>
      <c r="I243" s="218">
        <v>7.35</v>
      </c>
      <c r="J243" s="218"/>
      <c r="K243" s="218"/>
      <c r="L243" s="218"/>
      <c r="M243" s="273">
        <f>F243*I243</f>
        <v>152.14499999999998</v>
      </c>
    </row>
    <row r="244" spans="1:13" ht="13.5" customHeight="1" x14ac:dyDescent="0.2">
      <c r="A244" s="231"/>
      <c r="B244" s="9"/>
      <c r="C244" s="7"/>
      <c r="D244" s="8"/>
      <c r="E244" s="218"/>
      <c r="F244" s="218"/>
      <c r="G244" s="218"/>
      <c r="H244" s="218"/>
      <c r="I244" s="218"/>
      <c r="J244" s="218"/>
      <c r="K244" s="218"/>
      <c r="L244" s="218"/>
      <c r="M244" s="273"/>
    </row>
    <row r="245" spans="1:13" x14ac:dyDescent="0.2">
      <c r="A245" s="231"/>
      <c r="B245" s="9"/>
      <c r="C245" s="7"/>
      <c r="D245" s="8"/>
      <c r="E245" s="218"/>
      <c r="F245" s="218"/>
      <c r="G245" s="218"/>
      <c r="H245" s="218"/>
      <c r="I245" s="218"/>
      <c r="J245" s="218"/>
      <c r="K245" s="218"/>
      <c r="L245" s="218"/>
      <c r="M245" s="273"/>
    </row>
    <row r="246" spans="1:13" ht="48" x14ac:dyDescent="0.2">
      <c r="A246" s="231" t="s">
        <v>65</v>
      </c>
      <c r="B246" s="9" t="s">
        <v>338</v>
      </c>
      <c r="C246" s="7" t="s">
        <v>277</v>
      </c>
      <c r="D246" s="17" t="s">
        <v>17</v>
      </c>
      <c r="E246" s="218"/>
      <c r="F246" s="218"/>
      <c r="G246" s="218"/>
      <c r="H246" s="218"/>
      <c r="I246" s="218"/>
      <c r="J246" s="218"/>
      <c r="K246" s="218"/>
      <c r="L246" s="218"/>
      <c r="M246" s="272">
        <f>SUM(M247)</f>
        <v>24.84</v>
      </c>
    </row>
    <row r="247" spans="1:13" x14ac:dyDescent="0.2">
      <c r="A247" s="231"/>
      <c r="B247" s="9"/>
      <c r="C247" s="7"/>
      <c r="D247" s="8"/>
      <c r="E247" s="218"/>
      <c r="F247" s="218">
        <v>20.7</v>
      </c>
      <c r="G247" s="218"/>
      <c r="H247" s="218">
        <v>1.2</v>
      </c>
      <c r="I247" s="218"/>
      <c r="J247" s="218"/>
      <c r="K247" s="218"/>
      <c r="L247" s="218"/>
      <c r="M247" s="273">
        <f>F247*H247</f>
        <v>24.84</v>
      </c>
    </row>
    <row r="248" spans="1:13" x14ac:dyDescent="0.2">
      <c r="A248" s="231"/>
      <c r="B248" s="9"/>
      <c r="C248" s="7"/>
      <c r="D248" s="8"/>
      <c r="E248" s="218"/>
      <c r="F248" s="218"/>
      <c r="G248" s="218"/>
      <c r="H248" s="218"/>
      <c r="I248" s="218"/>
      <c r="J248" s="218"/>
      <c r="K248" s="218"/>
      <c r="L248" s="218"/>
      <c r="M248" s="273"/>
    </row>
    <row r="249" spans="1:13" ht="36" x14ac:dyDescent="0.2">
      <c r="A249" s="231" t="s">
        <v>66</v>
      </c>
      <c r="B249" s="9" t="s">
        <v>339</v>
      </c>
      <c r="C249" s="7" t="s">
        <v>67</v>
      </c>
      <c r="D249" s="17" t="s">
        <v>17</v>
      </c>
      <c r="E249" s="218"/>
      <c r="F249" s="218"/>
      <c r="G249" s="218"/>
      <c r="H249" s="218"/>
      <c r="I249" s="218"/>
      <c r="J249" s="218"/>
      <c r="K249" s="218"/>
      <c r="L249" s="218"/>
      <c r="M249" s="272">
        <f>SUM(M250)</f>
        <v>152.14499999999998</v>
      </c>
    </row>
    <row r="250" spans="1:13" x14ac:dyDescent="0.2">
      <c r="A250" s="231"/>
      <c r="B250" s="9"/>
      <c r="C250" s="7"/>
      <c r="D250" s="8"/>
      <c r="E250" s="218"/>
      <c r="F250" s="218">
        <v>20.7</v>
      </c>
      <c r="G250" s="218"/>
      <c r="H250" s="218"/>
      <c r="I250" s="218">
        <v>7.35</v>
      </c>
      <c r="J250" s="218"/>
      <c r="K250" s="218"/>
      <c r="L250" s="218"/>
      <c r="M250" s="273">
        <f>F250*I250</f>
        <v>152.14499999999998</v>
      </c>
    </row>
    <row r="251" spans="1:13" x14ac:dyDescent="0.2">
      <c r="A251" s="231"/>
      <c r="B251" s="9"/>
      <c r="C251" s="7"/>
      <c r="D251" s="8"/>
      <c r="E251" s="218"/>
      <c r="F251" s="218"/>
      <c r="G251" s="218"/>
      <c r="H251" s="218"/>
      <c r="I251" s="218"/>
      <c r="J251" s="218"/>
      <c r="K251" s="218"/>
      <c r="L251" s="218"/>
      <c r="M251" s="273"/>
    </row>
    <row r="252" spans="1:13" ht="36" x14ac:dyDescent="0.2">
      <c r="A252" s="231" t="s">
        <v>236</v>
      </c>
      <c r="B252" s="9" t="s">
        <v>340</v>
      </c>
      <c r="C252" s="7" t="s">
        <v>237</v>
      </c>
      <c r="D252" s="17" t="s">
        <v>238</v>
      </c>
      <c r="E252" s="218"/>
      <c r="F252" s="218"/>
      <c r="G252" s="218"/>
      <c r="H252" s="218"/>
      <c r="I252" s="218"/>
      <c r="J252" s="218"/>
      <c r="K252" s="218"/>
      <c r="L252" s="218"/>
      <c r="M252" s="272">
        <f>SUM(M253)</f>
        <v>2</v>
      </c>
    </row>
    <row r="253" spans="1:13" x14ac:dyDescent="0.2">
      <c r="A253" s="231"/>
      <c r="B253" s="9"/>
      <c r="C253" s="7" t="s">
        <v>239</v>
      </c>
      <c r="D253" s="8"/>
      <c r="E253" s="218">
        <v>2</v>
      </c>
      <c r="F253" s="218"/>
      <c r="G253" s="218"/>
      <c r="H253" s="218"/>
      <c r="I253" s="218"/>
      <c r="J253" s="218"/>
      <c r="K253" s="218"/>
      <c r="L253" s="218"/>
      <c r="M253" s="273">
        <f>E253</f>
        <v>2</v>
      </c>
    </row>
    <row r="254" spans="1:13" x14ac:dyDescent="0.2">
      <c r="A254" s="231"/>
      <c r="B254" s="9"/>
      <c r="C254" s="7"/>
      <c r="D254" s="8"/>
      <c r="E254" s="218"/>
      <c r="F254" s="218"/>
      <c r="G254" s="218"/>
      <c r="H254" s="218"/>
      <c r="I254" s="218"/>
      <c r="J254" s="218"/>
      <c r="K254" s="218"/>
      <c r="L254" s="218"/>
      <c r="M254" s="273"/>
    </row>
    <row r="255" spans="1:13" ht="24" x14ac:dyDescent="0.2">
      <c r="A255" s="231" t="s">
        <v>68</v>
      </c>
      <c r="B255" s="9" t="s">
        <v>341</v>
      </c>
      <c r="C255" s="7" t="s">
        <v>69</v>
      </c>
      <c r="D255" s="17" t="s">
        <v>16</v>
      </c>
      <c r="E255" s="218"/>
      <c r="F255" s="218"/>
      <c r="G255" s="218"/>
      <c r="H255" s="218"/>
      <c r="I255" s="218"/>
      <c r="J255" s="218"/>
      <c r="K255" s="218"/>
      <c r="L255" s="218"/>
      <c r="M255" s="272">
        <f>SUM(M256)</f>
        <v>4</v>
      </c>
    </row>
    <row r="256" spans="1:13" x14ac:dyDescent="0.2">
      <c r="A256" s="231"/>
      <c r="B256" s="9"/>
      <c r="C256" s="7"/>
      <c r="D256" s="8"/>
      <c r="E256" s="218">
        <v>4</v>
      </c>
      <c r="F256" s="218"/>
      <c r="G256" s="218"/>
      <c r="H256" s="218"/>
      <c r="I256" s="218"/>
      <c r="J256" s="218"/>
      <c r="K256" s="218"/>
      <c r="L256" s="218"/>
      <c r="M256" s="273">
        <f>E256</f>
        <v>4</v>
      </c>
    </row>
    <row r="257" spans="1:13" x14ac:dyDescent="0.2">
      <c r="A257" s="231"/>
      <c r="B257" s="18"/>
      <c r="C257" s="12"/>
      <c r="D257" s="13"/>
      <c r="E257" s="218"/>
      <c r="F257" s="218"/>
      <c r="G257" s="218"/>
      <c r="H257" s="218"/>
      <c r="I257" s="218"/>
      <c r="J257" s="218"/>
      <c r="K257" s="218"/>
      <c r="L257" s="218"/>
      <c r="M257" s="273"/>
    </row>
    <row r="258" spans="1:13" x14ac:dyDescent="0.2">
      <c r="A258" s="274"/>
      <c r="B258" s="29" t="s">
        <v>8</v>
      </c>
      <c r="C258" s="30" t="s">
        <v>7</v>
      </c>
      <c r="D258" s="31"/>
      <c r="E258" s="31"/>
      <c r="F258" s="31"/>
      <c r="G258" s="31"/>
      <c r="H258" s="31"/>
      <c r="I258" s="31"/>
      <c r="J258" s="31"/>
      <c r="K258" s="31"/>
      <c r="L258" s="31"/>
      <c r="M258" s="275"/>
    </row>
    <row r="259" spans="1:13" ht="36" x14ac:dyDescent="0.2">
      <c r="A259" s="231" t="s">
        <v>52</v>
      </c>
      <c r="B259" s="9" t="s">
        <v>304</v>
      </c>
      <c r="C259" s="7" t="s">
        <v>278</v>
      </c>
      <c r="D259" s="17" t="s">
        <v>38</v>
      </c>
      <c r="E259" s="218"/>
      <c r="F259" s="218"/>
      <c r="G259" s="218"/>
      <c r="H259" s="218"/>
      <c r="I259" s="218"/>
      <c r="J259" s="218"/>
      <c r="K259" s="218"/>
      <c r="L259" s="218"/>
      <c r="M259" s="272">
        <f>SUM(M260)</f>
        <v>30.89</v>
      </c>
    </row>
    <row r="260" spans="1:13" ht="48" x14ac:dyDescent="0.2">
      <c r="A260" s="231"/>
      <c r="B260" s="9"/>
      <c r="C260" s="7" t="s">
        <v>644</v>
      </c>
      <c r="D260" s="8"/>
      <c r="E260" s="218"/>
      <c r="F260" s="218"/>
      <c r="G260" s="218"/>
      <c r="H260" s="218"/>
      <c r="I260" s="218"/>
      <c r="J260" s="218"/>
      <c r="K260" s="218"/>
      <c r="L260" s="218"/>
      <c r="M260" s="273">
        <v>30.89</v>
      </c>
    </row>
    <row r="261" spans="1:13" ht="15" x14ac:dyDescent="0.25">
      <c r="A261" s="231"/>
      <c r="B261" s="9"/>
      <c r="C261" s="7"/>
      <c r="D261" s="8"/>
      <c r="E261" s="218"/>
      <c r="F261" s="218"/>
      <c r="G261" s="218"/>
      <c r="H261" s="218"/>
      <c r="I261" s="218"/>
      <c r="J261" s="218"/>
      <c r="K261" s="218"/>
      <c r="L261" s="218"/>
      <c r="M261" s="278"/>
    </row>
    <row r="262" spans="1:13" ht="36" x14ac:dyDescent="0.2">
      <c r="A262" s="231" t="s">
        <v>53</v>
      </c>
      <c r="B262" s="9" t="s">
        <v>342</v>
      </c>
      <c r="C262" s="7" t="s">
        <v>54</v>
      </c>
      <c r="D262" s="17" t="s">
        <v>45</v>
      </c>
      <c r="E262" s="218"/>
      <c r="F262" s="218"/>
      <c r="G262" s="218"/>
      <c r="H262" s="218"/>
      <c r="I262" s="218"/>
      <c r="J262" s="218"/>
      <c r="K262" s="218"/>
      <c r="L262" s="218"/>
      <c r="M262" s="272">
        <f>SUM(M263)</f>
        <v>5.85</v>
      </c>
    </row>
    <row r="263" spans="1:13" x14ac:dyDescent="0.2">
      <c r="A263" s="231"/>
      <c r="B263" s="9"/>
      <c r="C263" s="7"/>
      <c r="D263" s="8"/>
      <c r="E263" s="218"/>
      <c r="F263" s="218"/>
      <c r="G263" s="218">
        <v>5.85</v>
      </c>
      <c r="H263" s="218"/>
      <c r="I263" s="218"/>
      <c r="J263" s="218"/>
      <c r="K263" s="218"/>
      <c r="L263" s="218"/>
      <c r="M263" s="273">
        <f>G263</f>
        <v>5.85</v>
      </c>
    </row>
    <row r="264" spans="1:13" x14ac:dyDescent="0.2">
      <c r="A264" s="231"/>
      <c r="B264" s="9"/>
      <c r="C264" s="7"/>
      <c r="D264" s="8"/>
      <c r="E264" s="218"/>
      <c r="F264" s="218"/>
      <c r="G264" s="218"/>
      <c r="H264" s="218"/>
      <c r="I264" s="218"/>
      <c r="J264" s="218"/>
      <c r="K264" s="218"/>
      <c r="L264" s="218"/>
      <c r="M264" s="273"/>
    </row>
    <row r="265" spans="1:13" ht="36" x14ac:dyDescent="0.2">
      <c r="A265" s="231" t="s">
        <v>55</v>
      </c>
      <c r="B265" s="9" t="s">
        <v>343</v>
      </c>
      <c r="C265" s="7" t="s">
        <v>279</v>
      </c>
      <c r="D265" s="17" t="s">
        <v>16</v>
      </c>
      <c r="E265" s="218"/>
      <c r="F265" s="218"/>
      <c r="G265" s="218"/>
      <c r="H265" s="218"/>
      <c r="I265" s="218"/>
      <c r="J265" s="218"/>
      <c r="K265" s="218"/>
      <c r="L265" s="218"/>
      <c r="M265" s="272">
        <f>SUM(M266)</f>
        <v>4</v>
      </c>
    </row>
    <row r="266" spans="1:13" x14ac:dyDescent="0.2">
      <c r="A266" s="231"/>
      <c r="B266" s="9"/>
      <c r="C266" s="7"/>
      <c r="D266" s="8"/>
      <c r="E266" s="218">
        <v>4</v>
      </c>
      <c r="F266" s="218"/>
      <c r="G266" s="218"/>
      <c r="H266" s="218"/>
      <c r="I266" s="218"/>
      <c r="J266" s="218"/>
      <c r="K266" s="218"/>
      <c r="L266" s="218"/>
      <c r="M266" s="273">
        <f>E266</f>
        <v>4</v>
      </c>
    </row>
    <row r="267" spans="1:13" x14ac:dyDescent="0.2">
      <c r="A267" s="231"/>
      <c r="B267" s="9"/>
      <c r="C267" s="7"/>
      <c r="D267" s="8"/>
      <c r="E267" s="218"/>
      <c r="F267" s="218"/>
      <c r="G267" s="218"/>
      <c r="H267" s="218"/>
      <c r="I267" s="218"/>
      <c r="J267" s="218"/>
      <c r="K267" s="218"/>
      <c r="L267" s="218"/>
      <c r="M267" s="273"/>
    </row>
    <row r="268" spans="1:13" x14ac:dyDescent="0.2">
      <c r="A268" s="274"/>
      <c r="B268" s="29" t="s">
        <v>9</v>
      </c>
      <c r="C268" s="30" t="s">
        <v>72</v>
      </c>
      <c r="D268" s="31"/>
      <c r="E268" s="31"/>
      <c r="F268" s="31"/>
      <c r="G268" s="31"/>
      <c r="H268" s="31"/>
      <c r="I268" s="31"/>
      <c r="J268" s="31"/>
      <c r="K268" s="31"/>
      <c r="L268" s="31"/>
      <c r="M268" s="275"/>
    </row>
    <row r="269" spans="1:13" ht="48" x14ac:dyDescent="0.2">
      <c r="A269" s="231" t="s">
        <v>73</v>
      </c>
      <c r="B269" s="9" t="s">
        <v>305</v>
      </c>
      <c r="C269" s="7" t="s">
        <v>280</v>
      </c>
      <c r="D269" s="17" t="s">
        <v>38</v>
      </c>
      <c r="E269" s="218"/>
      <c r="F269" s="218"/>
      <c r="G269" s="218"/>
      <c r="H269" s="218"/>
      <c r="I269" s="218"/>
      <c r="J269" s="218"/>
      <c r="K269" s="218"/>
      <c r="L269" s="218"/>
      <c r="M269" s="272">
        <f>SUM(M270,M273,M276,M279)</f>
        <v>1.4044000000000001</v>
      </c>
    </row>
    <row r="270" spans="1:13" x14ac:dyDescent="0.2">
      <c r="A270" s="236"/>
      <c r="B270" s="344"/>
      <c r="C270" s="345" t="s">
        <v>244</v>
      </c>
      <c r="D270" s="346"/>
      <c r="E270" s="347"/>
      <c r="F270" s="347">
        <v>3.3</v>
      </c>
      <c r="G270" s="347"/>
      <c r="H270" s="347">
        <v>3.3</v>
      </c>
      <c r="I270" s="347">
        <v>0.1</v>
      </c>
      <c r="J270" s="347"/>
      <c r="K270" s="347"/>
      <c r="L270" s="347"/>
      <c r="M270" s="342">
        <f>F270*H270*I270</f>
        <v>1.089</v>
      </c>
    </row>
    <row r="271" spans="1:13" x14ac:dyDescent="0.2">
      <c r="A271" s="231"/>
      <c r="B271" s="9"/>
      <c r="C271" s="7"/>
      <c r="D271" s="8"/>
      <c r="E271" s="218"/>
      <c r="F271" s="218"/>
      <c r="G271" s="218"/>
      <c r="H271" s="218"/>
      <c r="I271" s="218"/>
      <c r="J271" s="218"/>
      <c r="K271" s="218"/>
      <c r="L271" s="218"/>
      <c r="M271" s="273"/>
    </row>
    <row r="272" spans="1:13" x14ac:dyDescent="0.2">
      <c r="A272" s="231"/>
      <c r="B272" s="9"/>
      <c r="C272" s="7" t="s">
        <v>150</v>
      </c>
      <c r="D272" s="8"/>
      <c r="E272" s="218"/>
      <c r="F272" s="218"/>
      <c r="G272" s="218"/>
      <c r="H272" s="218"/>
      <c r="I272" s="218"/>
      <c r="J272" s="218"/>
      <c r="K272" s="218"/>
      <c r="L272" s="218"/>
      <c r="M272" s="273"/>
    </row>
    <row r="273" spans="1:13" x14ac:dyDescent="0.2">
      <c r="A273" s="231"/>
      <c r="B273" s="9"/>
      <c r="C273" s="7" t="s">
        <v>646</v>
      </c>
      <c r="D273" s="8"/>
      <c r="E273" s="218"/>
      <c r="F273" s="218">
        <v>1.7</v>
      </c>
      <c r="G273" s="218"/>
      <c r="H273" s="218">
        <v>0.6</v>
      </c>
      <c r="I273" s="218">
        <v>0.1</v>
      </c>
      <c r="J273" s="218"/>
      <c r="K273" s="218"/>
      <c r="L273" s="218"/>
      <c r="M273" s="273">
        <f>F273*H273*I273</f>
        <v>0.10200000000000001</v>
      </c>
    </row>
    <row r="274" spans="1:13" x14ac:dyDescent="0.2">
      <c r="A274" s="231"/>
      <c r="B274" s="9"/>
      <c r="C274" s="7"/>
      <c r="D274" s="8"/>
      <c r="E274" s="218"/>
      <c r="F274" s="218"/>
      <c r="G274" s="218"/>
      <c r="H274" s="218"/>
      <c r="I274" s="218"/>
      <c r="J274" s="218"/>
      <c r="K274" s="218"/>
      <c r="L274" s="218"/>
      <c r="M274" s="273"/>
    </row>
    <row r="275" spans="1:13" x14ac:dyDescent="0.2">
      <c r="A275" s="231"/>
      <c r="B275" s="9"/>
      <c r="C275" s="7" t="s">
        <v>151</v>
      </c>
      <c r="D275" s="8"/>
      <c r="E275" s="218"/>
      <c r="F275" s="218"/>
      <c r="G275" s="218"/>
      <c r="H275" s="218"/>
      <c r="I275" s="218"/>
      <c r="J275" s="218"/>
      <c r="K275" s="218"/>
      <c r="L275" s="218"/>
      <c r="M275" s="273"/>
    </row>
    <row r="276" spans="1:13" x14ac:dyDescent="0.2">
      <c r="A276" s="231"/>
      <c r="B276" s="9"/>
      <c r="C276" s="7" t="s">
        <v>647</v>
      </c>
      <c r="D276" s="8"/>
      <c r="E276" s="218"/>
      <c r="F276" s="218">
        <v>2.0299999999999998</v>
      </c>
      <c r="G276" s="218"/>
      <c r="H276" s="218">
        <v>0.55000000000000004</v>
      </c>
      <c r="I276" s="218">
        <v>0.1</v>
      </c>
      <c r="J276" s="218"/>
      <c r="K276" s="218"/>
      <c r="L276" s="218"/>
      <c r="M276" s="273">
        <f>F276*H276*I276</f>
        <v>0.11165000000000001</v>
      </c>
    </row>
    <row r="277" spans="1:13" x14ac:dyDescent="0.2">
      <c r="A277" s="231"/>
      <c r="B277" s="9"/>
      <c r="C277" s="7"/>
      <c r="D277" s="8"/>
      <c r="E277" s="218"/>
      <c r="F277" s="218"/>
      <c r="G277" s="218"/>
      <c r="H277" s="218"/>
      <c r="I277" s="218"/>
      <c r="J277" s="218"/>
      <c r="K277" s="218"/>
      <c r="L277" s="218"/>
      <c r="M277" s="273"/>
    </row>
    <row r="278" spans="1:13" x14ac:dyDescent="0.2">
      <c r="A278" s="231"/>
      <c r="B278" s="9"/>
      <c r="C278" s="7" t="s">
        <v>152</v>
      </c>
      <c r="D278" s="8"/>
      <c r="E278" s="218"/>
      <c r="F278" s="218"/>
      <c r="G278" s="218"/>
      <c r="H278" s="218"/>
      <c r="I278" s="218"/>
      <c r="J278" s="218"/>
      <c r="K278" s="218"/>
      <c r="L278" s="218"/>
      <c r="M278" s="273"/>
    </row>
    <row r="279" spans="1:13" x14ac:dyDescent="0.2">
      <c r="A279" s="231"/>
      <c r="B279" s="9"/>
      <c r="C279" s="7" t="s">
        <v>171</v>
      </c>
      <c r="D279" s="8"/>
      <c r="E279" s="218"/>
      <c r="F279" s="218">
        <v>1.85</v>
      </c>
      <c r="G279" s="218"/>
      <c r="H279" s="218">
        <v>0.55000000000000004</v>
      </c>
      <c r="I279" s="218">
        <v>0.1</v>
      </c>
      <c r="J279" s="218"/>
      <c r="K279" s="218"/>
      <c r="L279" s="218"/>
      <c r="M279" s="273">
        <f>F279*H279*I279</f>
        <v>0.10175000000000001</v>
      </c>
    </row>
    <row r="280" spans="1:13" ht="15" customHeight="1" x14ac:dyDescent="0.2">
      <c r="A280" s="231"/>
      <c r="B280" s="9"/>
      <c r="C280" s="7"/>
      <c r="D280" s="8"/>
      <c r="E280" s="218"/>
      <c r="F280" s="218"/>
      <c r="G280" s="218"/>
      <c r="H280" s="218"/>
      <c r="I280" s="218"/>
      <c r="J280" s="218"/>
      <c r="K280" s="218"/>
      <c r="L280" s="218"/>
      <c r="M280" s="273"/>
    </row>
    <row r="281" spans="1:13" ht="15" customHeight="1" x14ac:dyDescent="0.2">
      <c r="A281" s="231"/>
      <c r="B281" s="9"/>
      <c r="C281" s="7"/>
      <c r="D281" s="8"/>
      <c r="E281" s="218"/>
      <c r="F281" s="218"/>
      <c r="G281" s="218"/>
      <c r="H281" s="218"/>
      <c r="I281" s="218"/>
      <c r="J281" s="218"/>
      <c r="K281" s="218"/>
      <c r="L281" s="218"/>
      <c r="M281" s="273"/>
    </row>
    <row r="282" spans="1:13" ht="72" x14ac:dyDescent="0.2">
      <c r="A282" s="231" t="s">
        <v>241</v>
      </c>
      <c r="B282" s="9" t="s">
        <v>344</v>
      </c>
      <c r="C282" s="7" t="s">
        <v>240</v>
      </c>
      <c r="D282" s="17" t="s">
        <v>58</v>
      </c>
      <c r="E282" s="218"/>
      <c r="F282" s="218"/>
      <c r="G282" s="218"/>
      <c r="H282" s="218"/>
      <c r="I282" s="218"/>
      <c r="J282" s="218"/>
      <c r="K282" s="218"/>
      <c r="L282" s="218"/>
      <c r="M282" s="272">
        <f>SUM(M283)</f>
        <v>16.697999999999997</v>
      </c>
    </row>
    <row r="283" spans="1:13" x14ac:dyDescent="0.2">
      <c r="A283" s="231"/>
      <c r="B283" s="9"/>
      <c r="C283" s="7" t="s">
        <v>244</v>
      </c>
      <c r="D283" s="8"/>
      <c r="E283" s="218">
        <v>46</v>
      </c>
      <c r="F283" s="218">
        <v>3.3</v>
      </c>
      <c r="G283" s="218"/>
      <c r="H283" s="218"/>
      <c r="I283" s="218"/>
      <c r="J283" s="218"/>
      <c r="K283" s="218"/>
      <c r="L283" s="218">
        <v>0.11</v>
      </c>
      <c r="M283" s="273">
        <f>E283*F283*L283</f>
        <v>16.697999999999997</v>
      </c>
    </row>
    <row r="284" spans="1:13" x14ac:dyDescent="0.2">
      <c r="A284" s="231"/>
      <c r="B284" s="9"/>
      <c r="C284" s="7"/>
      <c r="D284" s="8"/>
      <c r="E284" s="218"/>
      <c r="F284" s="218"/>
      <c r="G284" s="218"/>
      <c r="H284" s="218"/>
      <c r="I284" s="218"/>
      <c r="J284" s="218"/>
      <c r="K284" s="218"/>
      <c r="L284" s="218"/>
      <c r="M284" s="273"/>
    </row>
    <row r="285" spans="1:13" ht="36" x14ac:dyDescent="0.2">
      <c r="A285" s="231" t="s">
        <v>243</v>
      </c>
      <c r="B285" s="9" t="s">
        <v>345</v>
      </c>
      <c r="C285" s="7" t="s">
        <v>242</v>
      </c>
      <c r="D285" s="17" t="s">
        <v>58</v>
      </c>
      <c r="E285" s="218"/>
      <c r="F285" s="218"/>
      <c r="G285" s="218"/>
      <c r="H285" s="218"/>
      <c r="I285" s="218"/>
      <c r="J285" s="218"/>
      <c r="K285" s="218"/>
      <c r="L285" s="218"/>
      <c r="M285" s="272">
        <f>SUM(M286)</f>
        <v>16.7</v>
      </c>
    </row>
    <row r="286" spans="1:13" x14ac:dyDescent="0.2">
      <c r="A286" s="231"/>
      <c r="B286" s="9"/>
      <c r="C286" s="7" t="s">
        <v>244</v>
      </c>
      <c r="D286" s="8"/>
      <c r="E286" s="218"/>
      <c r="F286" s="218"/>
      <c r="G286" s="218"/>
      <c r="H286" s="218"/>
      <c r="I286" s="218"/>
      <c r="J286" s="218"/>
      <c r="K286" s="218">
        <v>16.7</v>
      </c>
      <c r="L286" s="218"/>
      <c r="M286" s="273">
        <f>K286</f>
        <v>16.7</v>
      </c>
    </row>
    <row r="287" spans="1:13" x14ac:dyDescent="0.2">
      <c r="A287" s="231"/>
      <c r="B287" s="9"/>
      <c r="C287" s="7"/>
      <c r="D287" s="8"/>
      <c r="E287" s="218"/>
      <c r="F287" s="218"/>
      <c r="G287" s="218"/>
      <c r="H287" s="218"/>
      <c r="I287" s="218"/>
      <c r="J287" s="218"/>
      <c r="K287" s="218"/>
      <c r="L287" s="218"/>
      <c r="M287" s="273"/>
    </row>
    <row r="288" spans="1:13" x14ac:dyDescent="0.2">
      <c r="A288" s="231"/>
      <c r="B288" s="19"/>
      <c r="C288" s="14"/>
      <c r="D288" s="15"/>
      <c r="E288" s="218"/>
      <c r="F288" s="218"/>
      <c r="G288" s="218"/>
      <c r="H288" s="218"/>
      <c r="I288" s="218"/>
      <c r="J288" s="218"/>
      <c r="K288" s="218"/>
      <c r="L288" s="218"/>
      <c r="M288" s="273"/>
    </row>
    <row r="289" spans="1:13" x14ac:dyDescent="0.2">
      <c r="A289" s="274"/>
      <c r="B289" s="29" t="s">
        <v>78</v>
      </c>
      <c r="C289" s="30" t="s">
        <v>76</v>
      </c>
      <c r="D289" s="31"/>
      <c r="E289" s="31"/>
      <c r="F289" s="31"/>
      <c r="G289" s="31"/>
      <c r="H289" s="31"/>
      <c r="I289" s="31"/>
      <c r="J289" s="31"/>
      <c r="K289" s="31"/>
      <c r="L289" s="31"/>
      <c r="M289" s="275"/>
    </row>
    <row r="290" spans="1:13" ht="24" x14ac:dyDescent="0.2">
      <c r="A290" s="231" t="s">
        <v>74</v>
      </c>
      <c r="B290" s="9" t="s">
        <v>306</v>
      </c>
      <c r="C290" s="7" t="s">
        <v>75</v>
      </c>
      <c r="D290" s="133" t="s">
        <v>38</v>
      </c>
      <c r="E290" s="142"/>
      <c r="F290" s="142"/>
      <c r="G290" s="142"/>
      <c r="H290" s="142"/>
      <c r="I290" s="142"/>
      <c r="J290" s="142"/>
      <c r="K290" s="142"/>
      <c r="L290" s="142"/>
      <c r="M290" s="272">
        <f>ROUND(SUM(M291,M293),2)</f>
        <v>2.34</v>
      </c>
    </row>
    <row r="291" spans="1:13" x14ac:dyDescent="0.2">
      <c r="A291" s="231"/>
      <c r="B291" s="9"/>
      <c r="C291" s="33" t="s">
        <v>189</v>
      </c>
      <c r="D291" s="143"/>
      <c r="E291" s="142">
        <v>28</v>
      </c>
      <c r="F291" s="142">
        <v>5</v>
      </c>
      <c r="G291" s="142"/>
      <c r="H291" s="142">
        <v>0.15</v>
      </c>
      <c r="I291" s="142">
        <v>0.1</v>
      </c>
      <c r="J291" s="142"/>
      <c r="K291" s="142"/>
      <c r="L291" s="142"/>
      <c r="M291" s="279">
        <f>ROUND(E291*F291*H291*I291,2)</f>
        <v>2.1</v>
      </c>
    </row>
    <row r="292" spans="1:13" x14ac:dyDescent="0.2">
      <c r="A292" s="231"/>
      <c r="B292" s="9"/>
      <c r="C292" s="33"/>
      <c r="D292" s="143"/>
      <c r="E292" s="142"/>
      <c r="F292" s="142"/>
      <c r="G292" s="142"/>
      <c r="H292" s="142"/>
      <c r="I292" s="142"/>
      <c r="J292" s="142"/>
      <c r="K292" s="142"/>
      <c r="L292" s="142"/>
      <c r="M292" s="280"/>
    </row>
    <row r="293" spans="1:13" x14ac:dyDescent="0.2">
      <c r="A293" s="231"/>
      <c r="B293" s="9"/>
      <c r="C293" s="33" t="s">
        <v>190</v>
      </c>
      <c r="D293" s="143"/>
      <c r="E293" s="142"/>
      <c r="F293" s="142"/>
      <c r="G293" s="142"/>
      <c r="H293" s="142"/>
      <c r="I293" s="142"/>
      <c r="J293" s="142"/>
      <c r="K293" s="142"/>
      <c r="L293" s="142"/>
      <c r="M293" s="279">
        <f>ROUND(SUM(M294,M297,M300),2)</f>
        <v>0.24</v>
      </c>
    </row>
    <row r="294" spans="1:13" x14ac:dyDescent="0.2">
      <c r="A294" s="231"/>
      <c r="B294" s="9"/>
      <c r="C294" s="7" t="s">
        <v>150</v>
      </c>
      <c r="D294" s="17"/>
      <c r="E294" s="218"/>
      <c r="F294" s="218"/>
      <c r="G294" s="218"/>
      <c r="H294" s="218"/>
      <c r="I294" s="218"/>
      <c r="J294" s="218"/>
      <c r="K294" s="218"/>
      <c r="L294" s="218"/>
      <c r="M294" s="273">
        <f>SUM(M295)</f>
        <v>0.03</v>
      </c>
    </row>
    <row r="295" spans="1:13" x14ac:dyDescent="0.2">
      <c r="A295" s="231"/>
      <c r="B295" s="9"/>
      <c r="C295" s="7" t="s">
        <v>658</v>
      </c>
      <c r="D295" s="17"/>
      <c r="E295" s="218">
        <v>1</v>
      </c>
      <c r="F295" s="218">
        <v>2.15</v>
      </c>
      <c r="G295" s="218"/>
      <c r="H295" s="218">
        <v>0.15</v>
      </c>
      <c r="I295" s="218">
        <v>0.1</v>
      </c>
      <c r="J295" s="218"/>
      <c r="K295" s="218"/>
      <c r="L295" s="218"/>
      <c r="M295" s="280">
        <f>ROUND(E295*F295*H295*I295,2)</f>
        <v>0.03</v>
      </c>
    </row>
    <row r="296" spans="1:13" x14ac:dyDescent="0.2">
      <c r="A296" s="231"/>
      <c r="B296" s="9"/>
      <c r="C296" s="7"/>
      <c r="D296" s="17"/>
      <c r="E296" s="218"/>
      <c r="F296" s="218"/>
      <c r="G296" s="218"/>
      <c r="H296" s="218"/>
      <c r="I296" s="218"/>
      <c r="J296" s="218"/>
      <c r="K296" s="218"/>
      <c r="L296" s="218"/>
      <c r="M296" s="273"/>
    </row>
    <row r="297" spans="1:13" x14ac:dyDescent="0.2">
      <c r="A297" s="231"/>
      <c r="B297" s="9"/>
      <c r="C297" s="7" t="s">
        <v>151</v>
      </c>
      <c r="D297" s="17"/>
      <c r="E297" s="218"/>
      <c r="F297" s="218"/>
      <c r="G297" s="218"/>
      <c r="H297" s="218"/>
      <c r="I297" s="218"/>
      <c r="J297" s="218"/>
      <c r="K297" s="218"/>
      <c r="L297" s="218"/>
      <c r="M297" s="273">
        <f>SUM(M298)</f>
        <v>0.04</v>
      </c>
    </row>
    <row r="298" spans="1:13" x14ac:dyDescent="0.2">
      <c r="A298" s="231"/>
      <c r="B298" s="9"/>
      <c r="C298" s="7" t="s">
        <v>165</v>
      </c>
      <c r="D298" s="17"/>
      <c r="E298" s="218">
        <v>1</v>
      </c>
      <c r="F298" s="218">
        <v>2.4500000000000002</v>
      </c>
      <c r="G298" s="218"/>
      <c r="H298" s="218">
        <v>0.15</v>
      </c>
      <c r="I298" s="218">
        <v>0.1</v>
      </c>
      <c r="J298" s="218"/>
      <c r="K298" s="218"/>
      <c r="L298" s="218"/>
      <c r="M298" s="273">
        <f>ROUND(E298*F298*H298*I298,2)</f>
        <v>0.04</v>
      </c>
    </row>
    <row r="299" spans="1:13" x14ac:dyDescent="0.2">
      <c r="A299" s="231"/>
      <c r="B299" s="9"/>
      <c r="C299" s="7"/>
      <c r="D299" s="17"/>
      <c r="E299" s="218"/>
      <c r="F299" s="218"/>
      <c r="G299" s="218"/>
      <c r="H299" s="218"/>
      <c r="I299" s="218"/>
      <c r="J299" s="218"/>
      <c r="K299" s="218"/>
      <c r="L299" s="218"/>
      <c r="M299" s="273"/>
    </row>
    <row r="300" spans="1:13" x14ac:dyDescent="0.2">
      <c r="A300" s="231"/>
      <c r="B300" s="9"/>
      <c r="C300" s="7" t="s">
        <v>152</v>
      </c>
      <c r="D300" s="17"/>
      <c r="E300" s="218"/>
      <c r="F300" s="218"/>
      <c r="G300" s="218"/>
      <c r="H300" s="218"/>
      <c r="I300" s="218"/>
      <c r="J300" s="218"/>
      <c r="K300" s="218"/>
      <c r="L300" s="218"/>
      <c r="M300" s="273">
        <f>SUM(M301:M302)</f>
        <v>0.17</v>
      </c>
    </row>
    <row r="301" spans="1:13" x14ac:dyDescent="0.2">
      <c r="A301" s="231"/>
      <c r="B301" s="9"/>
      <c r="C301" s="7" t="s">
        <v>171</v>
      </c>
      <c r="D301" s="17"/>
      <c r="E301" s="218">
        <v>1</v>
      </c>
      <c r="F301" s="218">
        <v>2.2999999999999998</v>
      </c>
      <c r="G301" s="218"/>
      <c r="H301" s="218">
        <v>0.15</v>
      </c>
      <c r="I301" s="218">
        <v>0.1</v>
      </c>
      <c r="J301" s="218"/>
      <c r="K301" s="218"/>
      <c r="L301" s="218"/>
      <c r="M301" s="280">
        <f t="shared" ref="M301:M302" si="0">ROUND(E301*F301*H301*I301,2)</f>
        <v>0.03</v>
      </c>
    </row>
    <row r="302" spans="1:13" x14ac:dyDescent="0.2">
      <c r="A302" s="231"/>
      <c r="B302" s="9"/>
      <c r="C302" s="7" t="s">
        <v>441</v>
      </c>
      <c r="D302" s="17"/>
      <c r="E302" s="218">
        <v>4</v>
      </c>
      <c r="F302" s="218">
        <v>2.2999999999999998</v>
      </c>
      <c r="G302" s="218"/>
      <c r="H302" s="218">
        <v>0.15</v>
      </c>
      <c r="I302" s="218">
        <v>0.1</v>
      </c>
      <c r="J302" s="218"/>
      <c r="K302" s="218"/>
      <c r="L302" s="218"/>
      <c r="M302" s="280">
        <f t="shared" si="0"/>
        <v>0.14000000000000001</v>
      </c>
    </row>
    <row r="303" spans="1:13" x14ac:dyDescent="0.2">
      <c r="A303" s="231"/>
      <c r="B303" s="9"/>
      <c r="C303" s="7"/>
      <c r="D303" s="143"/>
      <c r="E303" s="142"/>
      <c r="F303" s="142"/>
      <c r="G303" s="142"/>
      <c r="H303" s="142"/>
      <c r="I303" s="142"/>
      <c r="J303" s="142"/>
      <c r="K303" s="142"/>
      <c r="L303" s="142"/>
      <c r="M303" s="280"/>
    </row>
    <row r="304" spans="1:13" ht="84" x14ac:dyDescent="0.2">
      <c r="A304" s="231" t="s">
        <v>77</v>
      </c>
      <c r="B304" s="9" t="s">
        <v>346</v>
      </c>
      <c r="C304" s="7" t="s">
        <v>281</v>
      </c>
      <c r="D304" s="133" t="s">
        <v>38</v>
      </c>
      <c r="E304" s="142"/>
      <c r="F304" s="142"/>
      <c r="G304" s="142"/>
      <c r="H304" s="142"/>
      <c r="I304" s="142"/>
      <c r="J304" s="142"/>
      <c r="K304" s="142"/>
      <c r="L304" s="142"/>
      <c r="M304" s="272">
        <f>SUM(M306)</f>
        <v>0.6996</v>
      </c>
    </row>
    <row r="305" spans="1:13" x14ac:dyDescent="0.2">
      <c r="A305" s="231"/>
      <c r="B305" s="9"/>
      <c r="C305" s="7" t="s">
        <v>246</v>
      </c>
      <c r="D305" s="143"/>
      <c r="E305" s="142"/>
      <c r="F305" s="142"/>
      <c r="G305" s="142"/>
      <c r="H305" s="142"/>
      <c r="I305" s="142"/>
      <c r="J305" s="142"/>
      <c r="K305" s="142"/>
      <c r="L305" s="142"/>
      <c r="M305" s="280"/>
    </row>
    <row r="306" spans="1:13" ht="24" x14ac:dyDescent="0.2">
      <c r="A306" s="231"/>
      <c r="B306" s="9" t="s">
        <v>154</v>
      </c>
      <c r="C306" s="7" t="s">
        <v>245</v>
      </c>
      <c r="D306" s="143"/>
      <c r="E306" s="142"/>
      <c r="F306" s="142"/>
      <c r="G306" s="142"/>
      <c r="H306" s="142"/>
      <c r="I306" s="142">
        <v>0.12</v>
      </c>
      <c r="J306" s="142">
        <v>5.83</v>
      </c>
      <c r="K306" s="142"/>
      <c r="L306" s="142"/>
      <c r="M306" s="280">
        <f>I306*J306</f>
        <v>0.6996</v>
      </c>
    </row>
    <row r="307" spans="1:13" x14ac:dyDescent="0.2">
      <c r="A307" s="231"/>
      <c r="B307" s="9"/>
      <c r="C307" s="7"/>
      <c r="D307" s="143"/>
      <c r="E307" s="142"/>
      <c r="F307" s="142"/>
      <c r="G307" s="142"/>
      <c r="H307" s="142"/>
      <c r="I307" s="142"/>
      <c r="J307" s="142"/>
      <c r="K307" s="142"/>
      <c r="L307" s="142"/>
      <c r="M307" s="280"/>
    </row>
    <row r="308" spans="1:13" ht="84" x14ac:dyDescent="0.2">
      <c r="A308" s="231" t="s">
        <v>79</v>
      </c>
      <c r="B308" s="9" t="s">
        <v>347</v>
      </c>
      <c r="C308" s="7" t="s">
        <v>80</v>
      </c>
      <c r="D308" s="133" t="s">
        <v>17</v>
      </c>
      <c r="E308" s="142"/>
      <c r="F308" s="142"/>
      <c r="G308" s="142"/>
      <c r="H308" s="142"/>
      <c r="I308" s="142"/>
      <c r="J308" s="142"/>
      <c r="K308" s="142"/>
      <c r="L308" s="142"/>
      <c r="M308" s="272">
        <f>ROUND(SUM(M309),2)</f>
        <v>6</v>
      </c>
    </row>
    <row r="309" spans="1:13" x14ac:dyDescent="0.2">
      <c r="A309" s="231"/>
      <c r="B309" s="9"/>
      <c r="C309" s="7"/>
      <c r="D309" s="8"/>
      <c r="E309" s="218"/>
      <c r="F309" s="218"/>
      <c r="G309" s="218"/>
      <c r="H309" s="218"/>
      <c r="I309" s="218"/>
      <c r="J309" s="218">
        <v>6</v>
      </c>
      <c r="K309" s="218"/>
      <c r="L309" s="218"/>
      <c r="M309" s="273">
        <f>J309</f>
        <v>6</v>
      </c>
    </row>
    <row r="310" spans="1:13" x14ac:dyDescent="0.2">
      <c r="A310" s="231"/>
      <c r="B310" s="9"/>
      <c r="C310" s="11"/>
      <c r="D310" s="10"/>
      <c r="E310" s="218"/>
      <c r="F310" s="218"/>
      <c r="G310" s="218"/>
      <c r="H310" s="218"/>
      <c r="I310" s="218"/>
      <c r="J310" s="218"/>
      <c r="K310" s="218"/>
      <c r="L310" s="218"/>
      <c r="M310" s="273"/>
    </row>
    <row r="311" spans="1:13" x14ac:dyDescent="0.2">
      <c r="A311" s="274"/>
      <c r="B311" s="29" t="s">
        <v>11</v>
      </c>
      <c r="C311" s="30" t="s">
        <v>81</v>
      </c>
      <c r="D311" s="31"/>
      <c r="E311" s="31"/>
      <c r="F311" s="31"/>
      <c r="G311" s="31"/>
      <c r="H311" s="31"/>
      <c r="I311" s="31"/>
      <c r="J311" s="31"/>
      <c r="K311" s="31"/>
      <c r="L311" s="31"/>
      <c r="M311" s="275"/>
    </row>
    <row r="312" spans="1:13" ht="60" x14ac:dyDescent="0.2">
      <c r="A312" s="231" t="s">
        <v>85</v>
      </c>
      <c r="B312" s="9" t="s">
        <v>307</v>
      </c>
      <c r="C312" s="7" t="s">
        <v>84</v>
      </c>
      <c r="D312" s="17" t="s">
        <v>17</v>
      </c>
      <c r="E312" s="218"/>
      <c r="F312" s="218"/>
      <c r="G312" s="218"/>
      <c r="H312" s="218"/>
      <c r="I312" s="218"/>
      <c r="J312" s="218"/>
      <c r="K312" s="218"/>
      <c r="L312" s="218"/>
      <c r="M312" s="272">
        <f>SUM(M315:M341)</f>
        <v>36.601500000000001</v>
      </c>
    </row>
    <row r="313" spans="1:13" x14ac:dyDescent="0.2">
      <c r="A313" s="231"/>
      <c r="B313" s="9"/>
      <c r="C313" s="7"/>
      <c r="D313" s="17"/>
      <c r="E313" s="218"/>
      <c r="F313" s="218"/>
      <c r="G313" s="218"/>
      <c r="H313" s="218"/>
      <c r="I313" s="218"/>
      <c r="J313" s="218"/>
      <c r="K313" s="218"/>
      <c r="L313" s="218"/>
      <c r="M313" s="277"/>
    </row>
    <row r="314" spans="1:13" x14ac:dyDescent="0.2">
      <c r="A314" s="231"/>
      <c r="B314" s="9"/>
      <c r="C314" s="7" t="s">
        <v>150</v>
      </c>
      <c r="D314" s="17"/>
      <c r="E314" s="218"/>
      <c r="F314" s="218"/>
      <c r="G314" s="218"/>
      <c r="H314" s="218"/>
      <c r="I314" s="218"/>
      <c r="J314" s="218"/>
      <c r="K314" s="218"/>
      <c r="L314" s="218"/>
      <c r="M314" s="277"/>
    </row>
    <row r="315" spans="1:13" x14ac:dyDescent="0.2">
      <c r="A315" s="231"/>
      <c r="B315" s="9"/>
      <c r="C315" s="7" t="s">
        <v>383</v>
      </c>
      <c r="D315" s="17"/>
      <c r="E315" s="218"/>
      <c r="F315" s="218"/>
      <c r="G315" s="218"/>
      <c r="H315" s="218"/>
      <c r="I315" s="218"/>
      <c r="J315" s="218">
        <v>2</v>
      </c>
      <c r="K315" s="218"/>
      <c r="L315" s="218"/>
      <c r="M315" s="281">
        <f>J315</f>
        <v>2</v>
      </c>
    </row>
    <row r="316" spans="1:13" x14ac:dyDescent="0.2">
      <c r="A316" s="231"/>
      <c r="B316" s="9"/>
      <c r="C316" s="7"/>
      <c r="D316" s="17"/>
      <c r="E316" s="218"/>
      <c r="F316" s="218"/>
      <c r="G316" s="218"/>
      <c r="H316" s="218"/>
      <c r="I316" s="218"/>
      <c r="J316" s="218"/>
      <c r="K316" s="218"/>
      <c r="L316" s="218"/>
      <c r="M316" s="281"/>
    </row>
    <row r="317" spans="1:13" x14ac:dyDescent="0.2">
      <c r="A317" s="231"/>
      <c r="B317" s="9"/>
      <c r="C317" s="7" t="s">
        <v>151</v>
      </c>
      <c r="D317" s="8"/>
      <c r="E317" s="218"/>
      <c r="F317" s="218"/>
      <c r="G317" s="218"/>
      <c r="H317" s="218"/>
      <c r="I317" s="218"/>
      <c r="J317" s="218"/>
      <c r="K317" s="218"/>
      <c r="L317" s="218"/>
      <c r="M317" s="281"/>
    </row>
    <row r="318" spans="1:13" x14ac:dyDescent="0.2">
      <c r="A318" s="231"/>
      <c r="B318" s="9"/>
      <c r="C318" s="7" t="s">
        <v>249</v>
      </c>
      <c r="D318" s="8"/>
      <c r="E318" s="218"/>
      <c r="F318" s="218">
        <v>1.35</v>
      </c>
      <c r="G318" s="218"/>
      <c r="H318" s="218"/>
      <c r="I318" s="218">
        <v>1.6</v>
      </c>
      <c r="J318" s="218">
        <f>F318*I318</f>
        <v>2.16</v>
      </c>
      <c r="K318" s="218"/>
      <c r="L318" s="218"/>
      <c r="M318" s="281">
        <f t="shared" ref="M318:M341" si="1">J318</f>
        <v>2.16</v>
      </c>
    </row>
    <row r="319" spans="1:13" x14ac:dyDescent="0.2">
      <c r="A319" s="231"/>
      <c r="B319" s="9"/>
      <c r="C319" s="7"/>
      <c r="D319" s="8"/>
      <c r="E319" s="218">
        <v>2</v>
      </c>
      <c r="F319" s="218">
        <v>0.2</v>
      </c>
      <c r="G319" s="218"/>
      <c r="H319" s="218"/>
      <c r="I319" s="218">
        <v>1.6</v>
      </c>
      <c r="J319" s="218">
        <f>I319*E319*F319</f>
        <v>0.64000000000000012</v>
      </c>
      <c r="K319" s="218"/>
      <c r="L319" s="218"/>
      <c r="M319" s="281">
        <f t="shared" si="1"/>
        <v>0.64000000000000012</v>
      </c>
    </row>
    <row r="320" spans="1:13" x14ac:dyDescent="0.2">
      <c r="A320" s="231"/>
      <c r="B320" s="9"/>
      <c r="C320" s="7" t="s">
        <v>248</v>
      </c>
      <c r="D320" s="8"/>
      <c r="E320" s="218"/>
      <c r="F320" s="218">
        <v>0.6</v>
      </c>
      <c r="G320" s="218"/>
      <c r="H320" s="218"/>
      <c r="I320" s="218">
        <v>2.1</v>
      </c>
      <c r="J320" s="218">
        <f>F320*I320</f>
        <v>1.26</v>
      </c>
      <c r="K320" s="218"/>
      <c r="L320" s="218"/>
      <c r="M320" s="281">
        <f t="shared" si="1"/>
        <v>1.26</v>
      </c>
    </row>
    <row r="321" spans="1:13" x14ac:dyDescent="0.2">
      <c r="A321" s="231"/>
      <c r="B321" s="9"/>
      <c r="C321" s="7" t="s">
        <v>250</v>
      </c>
      <c r="D321" s="8"/>
      <c r="E321" s="218"/>
      <c r="F321" s="218">
        <v>0.8</v>
      </c>
      <c r="G321" s="218"/>
      <c r="H321" s="218"/>
      <c r="I321" s="218">
        <v>2.1</v>
      </c>
      <c r="J321" s="218">
        <f>F321*I321</f>
        <v>1.6800000000000002</v>
      </c>
      <c r="K321" s="218"/>
      <c r="L321" s="218"/>
      <c r="M321" s="281">
        <f t="shared" si="1"/>
        <v>1.6800000000000002</v>
      </c>
    </row>
    <row r="322" spans="1:13" x14ac:dyDescent="0.2">
      <c r="A322" s="231"/>
      <c r="B322" s="9"/>
      <c r="C322" s="7" t="s">
        <v>251</v>
      </c>
      <c r="D322" s="8"/>
      <c r="E322" s="218">
        <v>2</v>
      </c>
      <c r="F322" s="218">
        <v>0.4</v>
      </c>
      <c r="G322" s="218"/>
      <c r="H322" s="218"/>
      <c r="I322" s="218">
        <v>1.6</v>
      </c>
      <c r="J322" s="218">
        <f>I322*F322*E322</f>
        <v>1.2800000000000002</v>
      </c>
      <c r="K322" s="218"/>
      <c r="L322" s="218"/>
      <c r="M322" s="281">
        <f t="shared" si="1"/>
        <v>1.2800000000000002</v>
      </c>
    </row>
    <row r="323" spans="1:13" x14ac:dyDescent="0.2">
      <c r="A323" s="231"/>
      <c r="B323" s="9"/>
      <c r="C323" s="7" t="s">
        <v>252</v>
      </c>
      <c r="D323" s="8"/>
      <c r="E323" s="218"/>
      <c r="F323" s="218">
        <v>0.2</v>
      </c>
      <c r="G323" s="218"/>
      <c r="H323" s="218"/>
      <c r="I323" s="218">
        <v>1.6</v>
      </c>
      <c r="J323" s="218">
        <f>F323*I323</f>
        <v>0.32000000000000006</v>
      </c>
      <c r="K323" s="218"/>
      <c r="L323" s="218"/>
      <c r="M323" s="281">
        <f t="shared" si="1"/>
        <v>0.32000000000000006</v>
      </c>
    </row>
    <row r="324" spans="1:13" x14ac:dyDescent="0.2">
      <c r="A324" s="231"/>
      <c r="B324" s="9"/>
      <c r="C324" s="7" t="s">
        <v>253</v>
      </c>
      <c r="D324" s="8"/>
      <c r="E324" s="218"/>
      <c r="F324" s="218"/>
      <c r="G324" s="218">
        <v>6.67</v>
      </c>
      <c r="H324" s="218"/>
      <c r="I324" s="218">
        <v>2.4500000000000002</v>
      </c>
      <c r="J324" s="218">
        <f>G324*I324</f>
        <v>16.3415</v>
      </c>
      <c r="K324" s="218"/>
      <c r="L324" s="218"/>
      <c r="M324" s="281">
        <f t="shared" si="1"/>
        <v>16.3415</v>
      </c>
    </row>
    <row r="325" spans="1:13" x14ac:dyDescent="0.2">
      <c r="A325" s="231"/>
      <c r="B325" s="9"/>
      <c r="C325" s="7"/>
      <c r="D325" s="8"/>
      <c r="E325" s="218"/>
      <c r="F325" s="218"/>
      <c r="G325" s="218"/>
      <c r="H325" s="218"/>
      <c r="I325" s="218"/>
      <c r="J325" s="218"/>
      <c r="K325" s="218"/>
      <c r="L325" s="218"/>
      <c r="M325" s="281"/>
    </row>
    <row r="326" spans="1:13" x14ac:dyDescent="0.2">
      <c r="A326" s="231"/>
      <c r="B326" s="9"/>
      <c r="C326" s="7" t="s">
        <v>179</v>
      </c>
      <c r="D326" s="8"/>
      <c r="E326" s="218"/>
      <c r="F326" s="218"/>
      <c r="G326" s="218"/>
      <c r="H326" s="218"/>
      <c r="I326" s="218"/>
      <c r="J326" s="218"/>
      <c r="K326" s="218"/>
      <c r="L326" s="218"/>
      <c r="M326" s="281"/>
    </row>
    <row r="327" spans="1:13" x14ac:dyDescent="0.2">
      <c r="A327" s="231"/>
      <c r="B327" s="9"/>
      <c r="C327" s="7" t="s">
        <v>254</v>
      </c>
      <c r="D327" s="8"/>
      <c r="E327" s="218"/>
      <c r="F327" s="218">
        <v>0.8</v>
      </c>
      <c r="G327" s="218"/>
      <c r="H327" s="218"/>
      <c r="I327" s="218">
        <v>1.3</v>
      </c>
      <c r="J327" s="218">
        <f>F327*I327</f>
        <v>1.04</v>
      </c>
      <c r="K327" s="218"/>
      <c r="L327" s="218"/>
      <c r="M327" s="281">
        <f t="shared" si="1"/>
        <v>1.04</v>
      </c>
    </row>
    <row r="328" spans="1:13" x14ac:dyDescent="0.2">
      <c r="A328" s="236"/>
      <c r="B328" s="344"/>
      <c r="C328" s="345"/>
      <c r="D328" s="346"/>
      <c r="E328" s="347">
        <v>2</v>
      </c>
      <c r="F328" s="347">
        <v>0.2</v>
      </c>
      <c r="G328" s="347"/>
      <c r="H328" s="347"/>
      <c r="I328" s="347">
        <v>1.3</v>
      </c>
      <c r="J328" s="347">
        <f>I328*F328*E328</f>
        <v>0.52</v>
      </c>
      <c r="K328" s="347"/>
      <c r="L328" s="347"/>
      <c r="M328" s="343">
        <f t="shared" si="1"/>
        <v>0.52</v>
      </c>
    </row>
    <row r="329" spans="1:13" x14ac:dyDescent="0.2">
      <c r="A329" s="231"/>
      <c r="B329" s="9"/>
      <c r="C329" s="7" t="s">
        <v>255</v>
      </c>
      <c r="D329" s="8"/>
      <c r="E329" s="218">
        <v>2</v>
      </c>
      <c r="F329" s="218">
        <v>0.4</v>
      </c>
      <c r="G329" s="218"/>
      <c r="H329" s="218"/>
      <c r="I329" s="218">
        <v>1.3</v>
      </c>
      <c r="J329" s="218">
        <f>I329*F329*E329</f>
        <v>1.04</v>
      </c>
      <c r="K329" s="218"/>
      <c r="L329" s="218"/>
      <c r="M329" s="281">
        <f t="shared" si="1"/>
        <v>1.04</v>
      </c>
    </row>
    <row r="330" spans="1:13" x14ac:dyDescent="0.2">
      <c r="A330" s="231"/>
      <c r="B330" s="9"/>
      <c r="C330" s="7" t="s">
        <v>256</v>
      </c>
      <c r="D330" s="8"/>
      <c r="E330" s="218"/>
      <c r="F330" s="218">
        <v>0.2</v>
      </c>
      <c r="G330" s="218"/>
      <c r="H330" s="218"/>
      <c r="I330" s="218">
        <v>1.3</v>
      </c>
      <c r="J330" s="218">
        <f>F330*I330</f>
        <v>0.26</v>
      </c>
      <c r="K330" s="218"/>
      <c r="L330" s="218"/>
      <c r="M330" s="281">
        <f t="shared" si="1"/>
        <v>0.26</v>
      </c>
    </row>
    <row r="331" spans="1:13" x14ac:dyDescent="0.2">
      <c r="A331" s="231"/>
      <c r="B331" s="9"/>
      <c r="C331" s="7"/>
      <c r="D331" s="8"/>
      <c r="E331" s="218"/>
      <c r="F331" s="218"/>
      <c r="G331" s="218"/>
      <c r="H331" s="218"/>
      <c r="I331" s="218"/>
      <c r="J331" s="218"/>
      <c r="K331" s="218"/>
      <c r="L331" s="218"/>
      <c r="M331" s="281"/>
    </row>
    <row r="332" spans="1:13" x14ac:dyDescent="0.2">
      <c r="A332" s="231"/>
      <c r="B332" s="9"/>
      <c r="C332" s="7" t="s">
        <v>152</v>
      </c>
      <c r="D332" s="8"/>
      <c r="E332" s="218"/>
      <c r="F332" s="218"/>
      <c r="G332" s="218"/>
      <c r="H332" s="218"/>
      <c r="I332" s="218"/>
      <c r="J332" s="218"/>
      <c r="K332" s="218"/>
      <c r="L332" s="218"/>
      <c r="M332" s="281"/>
    </row>
    <row r="333" spans="1:13" x14ac:dyDescent="0.2">
      <c r="A333" s="231"/>
      <c r="B333" s="9"/>
      <c r="C333" s="7" t="s">
        <v>257</v>
      </c>
      <c r="D333" s="8"/>
      <c r="E333" s="218"/>
      <c r="F333" s="218">
        <v>0.8</v>
      </c>
      <c r="G333" s="218"/>
      <c r="H333" s="218"/>
      <c r="I333" s="218">
        <v>1.6</v>
      </c>
      <c r="J333" s="218">
        <f>F333*I333</f>
        <v>1.2800000000000002</v>
      </c>
      <c r="K333" s="218"/>
      <c r="L333" s="218"/>
      <c r="M333" s="281">
        <f t="shared" si="1"/>
        <v>1.2800000000000002</v>
      </c>
    </row>
    <row r="334" spans="1:13" x14ac:dyDescent="0.2">
      <c r="A334" s="231"/>
      <c r="B334" s="9"/>
      <c r="C334" s="7"/>
      <c r="D334" s="8"/>
      <c r="E334" s="218">
        <v>2</v>
      </c>
      <c r="F334" s="218">
        <v>0.2</v>
      </c>
      <c r="G334" s="218"/>
      <c r="H334" s="218"/>
      <c r="I334" s="218">
        <v>1.6</v>
      </c>
      <c r="J334" s="218">
        <f>I334*F334*E334</f>
        <v>0.64000000000000012</v>
      </c>
      <c r="K334" s="218"/>
      <c r="L334" s="218"/>
      <c r="M334" s="281">
        <f t="shared" si="1"/>
        <v>0.64000000000000012</v>
      </c>
    </row>
    <row r="335" spans="1:13" x14ac:dyDescent="0.2">
      <c r="A335" s="231"/>
      <c r="B335" s="9"/>
      <c r="C335" s="7" t="s">
        <v>260</v>
      </c>
      <c r="D335" s="8"/>
      <c r="E335" s="218"/>
      <c r="F335" s="218">
        <v>0.6</v>
      </c>
      <c r="G335" s="218"/>
      <c r="H335" s="218"/>
      <c r="I335" s="218">
        <v>2.1</v>
      </c>
      <c r="J335" s="218">
        <f>F335*I335</f>
        <v>1.26</v>
      </c>
      <c r="K335" s="218"/>
      <c r="L335" s="218"/>
      <c r="M335" s="281">
        <f t="shared" si="1"/>
        <v>1.26</v>
      </c>
    </row>
    <row r="336" spans="1:13" x14ac:dyDescent="0.2">
      <c r="A336" s="231"/>
      <c r="B336" s="9"/>
      <c r="C336" s="7" t="s">
        <v>258</v>
      </c>
      <c r="D336" s="8"/>
      <c r="E336" s="218"/>
      <c r="F336" s="218">
        <v>0.4</v>
      </c>
      <c r="G336" s="218"/>
      <c r="H336" s="218"/>
      <c r="I336" s="218">
        <v>1.6</v>
      </c>
      <c r="J336" s="218">
        <f t="shared" ref="J336:J341" si="2">F336*I336</f>
        <v>0.64000000000000012</v>
      </c>
      <c r="K336" s="218"/>
      <c r="L336" s="218"/>
      <c r="M336" s="281">
        <f t="shared" si="1"/>
        <v>0.64000000000000012</v>
      </c>
    </row>
    <row r="337" spans="1:13" x14ac:dyDescent="0.2">
      <c r="A337" s="231"/>
      <c r="B337" s="9"/>
      <c r="C337" s="7" t="s">
        <v>259</v>
      </c>
      <c r="D337" s="8"/>
      <c r="E337" s="218"/>
      <c r="F337" s="218">
        <v>0.4</v>
      </c>
      <c r="G337" s="218"/>
      <c r="H337" s="218"/>
      <c r="I337" s="218">
        <v>1.6</v>
      </c>
      <c r="J337" s="218">
        <f t="shared" si="2"/>
        <v>0.64000000000000012</v>
      </c>
      <c r="K337" s="218"/>
      <c r="L337" s="218"/>
      <c r="M337" s="281">
        <f t="shared" si="1"/>
        <v>0.64000000000000012</v>
      </c>
    </row>
    <row r="338" spans="1:13" x14ac:dyDescent="0.2">
      <c r="A338" s="231"/>
      <c r="B338" s="9"/>
      <c r="C338" s="7" t="s">
        <v>261</v>
      </c>
      <c r="D338" s="8"/>
      <c r="E338" s="218"/>
      <c r="F338" s="218">
        <v>0.8</v>
      </c>
      <c r="G338" s="218"/>
      <c r="H338" s="218"/>
      <c r="I338" s="218">
        <v>2.1</v>
      </c>
      <c r="J338" s="218">
        <f t="shared" si="2"/>
        <v>1.6800000000000002</v>
      </c>
      <c r="K338" s="218"/>
      <c r="L338" s="218"/>
      <c r="M338" s="281">
        <f t="shared" si="1"/>
        <v>1.6800000000000002</v>
      </c>
    </row>
    <row r="339" spans="1:13" x14ac:dyDescent="0.2">
      <c r="A339" s="231"/>
      <c r="B339" s="9"/>
      <c r="C339" s="7" t="s">
        <v>262</v>
      </c>
      <c r="D339" s="8"/>
      <c r="E339" s="218"/>
      <c r="F339" s="218">
        <v>0.2</v>
      </c>
      <c r="G339" s="218"/>
      <c r="H339" s="218"/>
      <c r="I339" s="218">
        <v>1.6</v>
      </c>
      <c r="J339" s="218">
        <f t="shared" si="2"/>
        <v>0.32000000000000006</v>
      </c>
      <c r="K339" s="218"/>
      <c r="L339" s="218"/>
      <c r="M339" s="281">
        <f t="shared" si="1"/>
        <v>0.32000000000000006</v>
      </c>
    </row>
    <row r="340" spans="1:13" x14ac:dyDescent="0.2">
      <c r="A340" s="231"/>
      <c r="B340" s="9"/>
      <c r="C340" s="7" t="s">
        <v>263</v>
      </c>
      <c r="D340" s="8"/>
      <c r="E340" s="218"/>
      <c r="F340" s="218">
        <v>1.2</v>
      </c>
      <c r="G340" s="218"/>
      <c r="H340" s="218"/>
      <c r="I340" s="218">
        <v>0.8</v>
      </c>
      <c r="J340" s="218">
        <f t="shared" si="2"/>
        <v>0.96</v>
      </c>
      <c r="K340" s="218"/>
      <c r="L340" s="218"/>
      <c r="M340" s="281">
        <f t="shared" si="1"/>
        <v>0.96</v>
      </c>
    </row>
    <row r="341" spans="1:13" x14ac:dyDescent="0.2">
      <c r="A341" s="231"/>
      <c r="B341" s="9"/>
      <c r="C341" s="7" t="s">
        <v>264</v>
      </c>
      <c r="D341" s="8"/>
      <c r="E341" s="218"/>
      <c r="F341" s="218">
        <v>0.4</v>
      </c>
      <c r="G341" s="218"/>
      <c r="H341" s="218"/>
      <c r="I341" s="218">
        <v>1.6</v>
      </c>
      <c r="J341" s="218">
        <f t="shared" si="2"/>
        <v>0.64000000000000012</v>
      </c>
      <c r="K341" s="218"/>
      <c r="L341" s="218"/>
      <c r="M341" s="281">
        <f t="shared" si="1"/>
        <v>0.64000000000000012</v>
      </c>
    </row>
    <row r="342" spans="1:13" x14ac:dyDescent="0.2">
      <c r="A342" s="231"/>
      <c r="B342" s="9"/>
      <c r="C342" s="7"/>
      <c r="D342" s="8"/>
      <c r="E342" s="218"/>
      <c r="F342" s="218"/>
      <c r="G342" s="218"/>
      <c r="H342" s="218"/>
      <c r="I342" s="218"/>
      <c r="J342" s="218"/>
      <c r="K342" s="218"/>
      <c r="L342" s="218"/>
      <c r="M342" s="273"/>
    </row>
    <row r="343" spans="1:13" x14ac:dyDescent="0.2">
      <c r="A343" s="231"/>
      <c r="B343" s="9"/>
      <c r="C343" s="7"/>
      <c r="D343" s="8"/>
      <c r="E343" s="218"/>
      <c r="F343" s="218"/>
      <c r="G343" s="218"/>
      <c r="H343" s="218"/>
      <c r="I343" s="218"/>
      <c r="J343" s="218"/>
      <c r="K343" s="218"/>
      <c r="L343" s="218"/>
      <c r="M343" s="273"/>
    </row>
    <row r="344" spans="1:13" ht="48" x14ac:dyDescent="0.2">
      <c r="A344" s="231" t="s">
        <v>82</v>
      </c>
      <c r="B344" s="9" t="s">
        <v>348</v>
      </c>
      <c r="C344" s="7" t="s">
        <v>83</v>
      </c>
      <c r="D344" s="17" t="s">
        <v>45</v>
      </c>
      <c r="E344" s="218"/>
      <c r="F344" s="218"/>
      <c r="G344" s="218"/>
      <c r="H344" s="218"/>
      <c r="I344" s="218"/>
      <c r="J344" s="218"/>
      <c r="K344" s="218"/>
      <c r="L344" s="218"/>
      <c r="M344" s="272">
        <f>SUM(M345)</f>
        <v>16.82</v>
      </c>
    </row>
    <row r="345" spans="1:13" x14ac:dyDescent="0.2">
      <c r="A345" s="231"/>
      <c r="B345" s="9"/>
      <c r="C345" s="7" t="s">
        <v>645</v>
      </c>
      <c r="D345" s="8"/>
      <c r="E345" s="218"/>
      <c r="F345" s="218"/>
      <c r="G345" s="218"/>
      <c r="H345" s="218">
        <v>16.82</v>
      </c>
      <c r="I345" s="218"/>
      <c r="J345" s="218"/>
      <c r="K345" s="218"/>
      <c r="L345" s="218"/>
      <c r="M345" s="273">
        <f>H345</f>
        <v>16.82</v>
      </c>
    </row>
    <row r="346" spans="1:13" x14ac:dyDescent="0.2">
      <c r="A346" s="231"/>
      <c r="B346" s="9"/>
      <c r="C346" s="7"/>
      <c r="D346" s="8"/>
      <c r="E346" s="218"/>
      <c r="F346" s="218"/>
      <c r="G346" s="218"/>
      <c r="H346" s="218"/>
      <c r="I346" s="218"/>
      <c r="J346" s="218"/>
      <c r="K346" s="218"/>
      <c r="L346" s="218"/>
      <c r="M346" s="273"/>
    </row>
    <row r="347" spans="1:13" ht="132" x14ac:dyDescent="0.2">
      <c r="A347" s="231" t="s">
        <v>86</v>
      </c>
      <c r="B347" s="9" t="s">
        <v>349</v>
      </c>
      <c r="C347" s="7" t="s">
        <v>87</v>
      </c>
      <c r="D347" s="17" t="s">
        <v>17</v>
      </c>
      <c r="E347" s="218"/>
      <c r="F347" s="218"/>
      <c r="G347" s="218"/>
      <c r="H347" s="218"/>
      <c r="I347" s="218"/>
      <c r="J347" s="218"/>
      <c r="K347" s="218"/>
      <c r="L347" s="218"/>
      <c r="M347" s="272">
        <f>SUM(M348:M350)</f>
        <v>34.199999999999996</v>
      </c>
    </row>
    <row r="348" spans="1:13" x14ac:dyDescent="0.2">
      <c r="A348" s="231"/>
      <c r="B348" s="9"/>
      <c r="C348" s="11" t="s">
        <v>179</v>
      </c>
      <c r="D348" s="10"/>
      <c r="E348" s="218"/>
      <c r="F348" s="218">
        <v>13.2</v>
      </c>
      <c r="G348" s="218"/>
      <c r="H348" s="218"/>
      <c r="I348" s="218">
        <v>1.8</v>
      </c>
      <c r="J348" s="218">
        <f>F348*I348</f>
        <v>23.759999999999998</v>
      </c>
      <c r="K348" s="218"/>
      <c r="L348" s="218"/>
      <c r="M348" s="273">
        <f>J348</f>
        <v>23.759999999999998</v>
      </c>
    </row>
    <row r="349" spans="1:13" x14ac:dyDescent="0.2">
      <c r="A349" s="231"/>
      <c r="B349" s="9"/>
      <c r="C349" s="11" t="s">
        <v>150</v>
      </c>
      <c r="D349" s="10"/>
      <c r="E349" s="218"/>
      <c r="F349" s="218">
        <v>6</v>
      </c>
      <c r="G349" s="218"/>
      <c r="H349" s="218"/>
      <c r="I349" s="218">
        <v>2.2999999999999998</v>
      </c>
      <c r="J349" s="218">
        <f>F349*I349</f>
        <v>13.799999999999999</v>
      </c>
      <c r="K349" s="218"/>
      <c r="L349" s="218"/>
      <c r="M349" s="273">
        <f>J349</f>
        <v>13.799999999999999</v>
      </c>
    </row>
    <row r="350" spans="1:13" x14ac:dyDescent="0.2">
      <c r="A350" s="231"/>
      <c r="B350" s="9"/>
      <c r="C350" s="11" t="s">
        <v>648</v>
      </c>
      <c r="D350" s="10"/>
      <c r="E350" s="218"/>
      <c r="F350" s="218">
        <v>1.6</v>
      </c>
      <c r="G350" s="218"/>
      <c r="H350" s="218"/>
      <c r="I350" s="218">
        <v>2.1</v>
      </c>
      <c r="J350" s="218">
        <f>-F350*I350</f>
        <v>-3.3600000000000003</v>
      </c>
      <c r="K350" s="218"/>
      <c r="L350" s="218"/>
      <c r="M350" s="273">
        <f>J350</f>
        <v>-3.3600000000000003</v>
      </c>
    </row>
    <row r="351" spans="1:13" x14ac:dyDescent="0.2">
      <c r="A351" s="231"/>
      <c r="B351" s="9"/>
      <c r="C351" s="11"/>
      <c r="D351" s="10"/>
      <c r="E351" s="218"/>
      <c r="F351" s="218"/>
      <c r="G351" s="218"/>
      <c r="H351" s="218"/>
      <c r="I351" s="218"/>
      <c r="J351" s="218"/>
      <c r="K351" s="218"/>
      <c r="L351" s="218"/>
      <c r="M351" s="273"/>
    </row>
    <row r="352" spans="1:13" ht="84" x14ac:dyDescent="0.2">
      <c r="A352" s="231" t="s">
        <v>649</v>
      </c>
      <c r="B352" s="9" t="s">
        <v>705</v>
      </c>
      <c r="C352" s="7" t="s">
        <v>650</v>
      </c>
      <c r="D352" s="17" t="s">
        <v>17</v>
      </c>
      <c r="E352" s="218"/>
      <c r="F352" s="218"/>
      <c r="G352" s="218"/>
      <c r="H352" s="218"/>
      <c r="I352" s="218"/>
      <c r="J352" s="218"/>
      <c r="K352" s="218"/>
      <c r="L352" s="218"/>
      <c r="M352" s="272">
        <f>SUM(M353)</f>
        <v>5.88</v>
      </c>
    </row>
    <row r="353" spans="1:13" x14ac:dyDescent="0.2">
      <c r="A353" s="231"/>
      <c r="B353" s="9"/>
      <c r="C353" s="7" t="s">
        <v>152</v>
      </c>
      <c r="D353" s="17"/>
      <c r="E353" s="218"/>
      <c r="F353" s="218"/>
      <c r="G353" s="218"/>
      <c r="H353" s="218"/>
      <c r="I353" s="218"/>
      <c r="J353" s="218"/>
      <c r="K353" s="218"/>
      <c r="L353" s="218"/>
      <c r="M353" s="282">
        <f>SUM(M354:M355)</f>
        <v>5.88</v>
      </c>
    </row>
    <row r="354" spans="1:13" x14ac:dyDescent="0.2">
      <c r="A354" s="231"/>
      <c r="B354" s="9"/>
      <c r="C354" s="7" t="s">
        <v>651</v>
      </c>
      <c r="D354" s="17"/>
      <c r="E354" s="218">
        <v>2</v>
      </c>
      <c r="F354" s="218">
        <v>1.17</v>
      </c>
      <c r="G354" s="218"/>
      <c r="H354" s="218"/>
      <c r="I354" s="218">
        <v>2</v>
      </c>
      <c r="J354" s="218"/>
      <c r="K354" s="218"/>
      <c r="L354" s="218"/>
      <c r="M354" s="273">
        <f>E354*F354*I354</f>
        <v>4.68</v>
      </c>
    </row>
    <row r="355" spans="1:13" x14ac:dyDescent="0.2">
      <c r="A355" s="231"/>
      <c r="B355" s="9"/>
      <c r="C355" s="7"/>
      <c r="D355" s="17"/>
      <c r="E355" s="218">
        <v>4</v>
      </c>
      <c r="F355" s="218">
        <v>0.15</v>
      </c>
      <c r="G355" s="218"/>
      <c r="H355" s="218"/>
      <c r="I355" s="218">
        <v>2</v>
      </c>
      <c r="J355" s="218"/>
      <c r="K355" s="218"/>
      <c r="L355" s="218"/>
      <c r="M355" s="273">
        <f>E355*F355*I355</f>
        <v>1.2</v>
      </c>
    </row>
    <row r="356" spans="1:13" x14ac:dyDescent="0.2">
      <c r="A356" s="231"/>
      <c r="B356" s="9"/>
      <c r="C356" s="7"/>
      <c r="D356" s="17"/>
      <c r="E356" s="218"/>
      <c r="F356" s="218"/>
      <c r="G356" s="218"/>
      <c r="H356" s="218"/>
      <c r="I356" s="218"/>
      <c r="J356" s="218"/>
      <c r="K356" s="218"/>
      <c r="L356" s="218"/>
      <c r="M356" s="273"/>
    </row>
    <row r="357" spans="1:13" x14ac:dyDescent="0.2">
      <c r="A357" s="231"/>
      <c r="B357" s="9"/>
      <c r="C357" s="11"/>
      <c r="D357" s="10"/>
      <c r="E357" s="218"/>
      <c r="F357" s="218"/>
      <c r="G357" s="218"/>
      <c r="H357" s="218"/>
      <c r="I357" s="218"/>
      <c r="J357" s="218"/>
      <c r="K357" s="218"/>
      <c r="L357" s="218"/>
      <c r="M357" s="273"/>
    </row>
    <row r="358" spans="1:13" x14ac:dyDescent="0.2">
      <c r="A358" s="274"/>
      <c r="B358" s="29" t="s">
        <v>113</v>
      </c>
      <c r="C358" s="30" t="s">
        <v>106</v>
      </c>
      <c r="D358" s="31"/>
      <c r="E358" s="31"/>
      <c r="F358" s="31"/>
      <c r="G358" s="31"/>
      <c r="H358" s="31"/>
      <c r="I358" s="31"/>
      <c r="J358" s="31"/>
      <c r="K358" s="31"/>
      <c r="L358" s="31"/>
      <c r="M358" s="275"/>
    </row>
    <row r="359" spans="1:13" ht="36" x14ac:dyDescent="0.2">
      <c r="A359" s="231" t="s">
        <v>88</v>
      </c>
      <c r="B359" s="9" t="s">
        <v>308</v>
      </c>
      <c r="C359" s="7" t="s">
        <v>89</v>
      </c>
      <c r="D359" s="17" t="s">
        <v>17</v>
      </c>
      <c r="E359" s="218"/>
      <c r="F359" s="218"/>
      <c r="G359" s="218"/>
      <c r="H359" s="218"/>
      <c r="I359" s="218"/>
      <c r="J359" s="218"/>
      <c r="K359" s="218"/>
      <c r="L359" s="218"/>
      <c r="M359" s="272">
        <f>SUM(M362:M424)</f>
        <v>235.96400000000008</v>
      </c>
    </row>
    <row r="360" spans="1:13" x14ac:dyDescent="0.2">
      <c r="A360" s="231"/>
      <c r="B360" s="9"/>
      <c r="C360" s="7"/>
      <c r="D360" s="17"/>
      <c r="E360" s="218"/>
      <c r="F360" s="218"/>
      <c r="G360" s="218"/>
      <c r="H360" s="218"/>
      <c r="I360" s="218"/>
      <c r="J360" s="218"/>
      <c r="K360" s="218"/>
      <c r="L360" s="218"/>
      <c r="M360" s="277"/>
    </row>
    <row r="361" spans="1:13" x14ac:dyDescent="0.2">
      <c r="A361" s="231"/>
      <c r="B361" s="9"/>
      <c r="C361" s="7" t="s">
        <v>150</v>
      </c>
      <c r="D361" s="8"/>
      <c r="E361" s="218"/>
      <c r="F361" s="218"/>
      <c r="G361" s="218"/>
      <c r="H361" s="218"/>
      <c r="I361" s="218"/>
      <c r="J361" s="218"/>
      <c r="K361" s="218"/>
      <c r="L361" s="218"/>
      <c r="M361" s="273"/>
    </row>
    <row r="362" spans="1:13" x14ac:dyDescent="0.2">
      <c r="A362" s="231"/>
      <c r="B362" s="9"/>
      <c r="C362" s="7" t="s">
        <v>385</v>
      </c>
      <c r="D362" s="8"/>
      <c r="E362" s="218"/>
      <c r="F362" s="218"/>
      <c r="G362" s="218">
        <v>10</v>
      </c>
      <c r="H362" s="218"/>
      <c r="I362" s="218">
        <v>2.2999999999999998</v>
      </c>
      <c r="J362" s="218">
        <f>G362*I362</f>
        <v>23</v>
      </c>
      <c r="K362" s="218"/>
      <c r="L362" s="218"/>
      <c r="M362" s="273">
        <f>J362</f>
        <v>23</v>
      </c>
    </row>
    <row r="363" spans="1:13" x14ac:dyDescent="0.2">
      <c r="A363" s="231"/>
      <c r="B363" s="9"/>
      <c r="C363" s="7" t="s">
        <v>383</v>
      </c>
      <c r="D363" s="8"/>
      <c r="E363" s="218"/>
      <c r="F363" s="218"/>
      <c r="G363" s="218"/>
      <c r="H363" s="218"/>
      <c r="I363" s="218"/>
      <c r="J363" s="218">
        <v>2</v>
      </c>
      <c r="K363" s="218"/>
      <c r="L363" s="218"/>
      <c r="M363" s="273">
        <f>J363</f>
        <v>2</v>
      </c>
    </row>
    <row r="364" spans="1:13" x14ac:dyDescent="0.2">
      <c r="A364" s="231"/>
      <c r="B364" s="9"/>
      <c r="C364" s="7"/>
      <c r="D364" s="8"/>
      <c r="E364" s="218"/>
      <c r="F364" s="218"/>
      <c r="G364" s="218"/>
      <c r="H364" s="218"/>
      <c r="I364" s="218"/>
      <c r="J364" s="218"/>
      <c r="K364" s="218"/>
      <c r="L364" s="218"/>
      <c r="M364" s="273"/>
    </row>
    <row r="365" spans="1:13" x14ac:dyDescent="0.2">
      <c r="A365" s="231"/>
      <c r="B365" s="9"/>
      <c r="C365" s="7" t="s">
        <v>151</v>
      </c>
      <c r="D365" s="8"/>
      <c r="E365" s="218"/>
      <c r="F365" s="218"/>
      <c r="G365" s="218"/>
      <c r="H365" s="218"/>
      <c r="I365" s="218"/>
      <c r="J365" s="218"/>
      <c r="K365" s="218"/>
      <c r="L365" s="218"/>
      <c r="M365" s="273"/>
    </row>
    <row r="366" spans="1:13" x14ac:dyDescent="0.2">
      <c r="A366" s="231"/>
      <c r="B366" s="9"/>
      <c r="C366" s="7" t="s">
        <v>158</v>
      </c>
      <c r="D366" s="8"/>
      <c r="E366" s="218">
        <v>2</v>
      </c>
      <c r="F366" s="218">
        <v>3.25</v>
      </c>
      <c r="G366" s="218"/>
      <c r="H366" s="218"/>
      <c r="I366" s="218">
        <v>1.6</v>
      </c>
      <c r="J366" s="218"/>
      <c r="K366" s="218"/>
      <c r="L366" s="218"/>
      <c r="M366" s="273">
        <f>E366*F366*I366</f>
        <v>10.4</v>
      </c>
    </row>
    <row r="367" spans="1:13" x14ac:dyDescent="0.2">
      <c r="A367" s="231"/>
      <c r="B367" s="9" t="s">
        <v>154</v>
      </c>
      <c r="C367" s="7"/>
      <c r="D367" s="8"/>
      <c r="E367" s="218">
        <v>4</v>
      </c>
      <c r="F367" s="218">
        <v>0.75</v>
      </c>
      <c r="G367" s="218"/>
      <c r="H367" s="218"/>
      <c r="I367" s="218">
        <v>1.6</v>
      </c>
      <c r="J367" s="218"/>
      <c r="K367" s="218"/>
      <c r="L367" s="218"/>
      <c r="M367" s="273">
        <f>E367*F367*I367</f>
        <v>4.8000000000000007</v>
      </c>
    </row>
    <row r="368" spans="1:13" x14ac:dyDescent="0.2">
      <c r="A368" s="231"/>
      <c r="B368" s="9"/>
      <c r="C368" s="7"/>
      <c r="D368" s="8"/>
      <c r="E368" s="218"/>
      <c r="F368" s="218"/>
      <c r="G368" s="218"/>
      <c r="H368" s="218"/>
      <c r="I368" s="218"/>
      <c r="J368" s="218"/>
      <c r="K368" s="218"/>
      <c r="L368" s="218"/>
      <c r="M368" s="273"/>
    </row>
    <row r="369" spans="1:16" x14ac:dyDescent="0.2">
      <c r="A369" s="231"/>
      <c r="B369" s="9"/>
      <c r="C369" s="7" t="s">
        <v>386</v>
      </c>
      <c r="D369" s="8"/>
      <c r="E369" s="218"/>
      <c r="F369" s="218"/>
      <c r="G369" s="218"/>
      <c r="H369" s="218"/>
      <c r="I369" s="218"/>
      <c r="J369" s="218"/>
      <c r="K369" s="218"/>
      <c r="L369" s="218"/>
      <c r="M369" s="273"/>
    </row>
    <row r="370" spans="1:16" x14ac:dyDescent="0.2">
      <c r="A370" s="231"/>
      <c r="B370" s="9"/>
      <c r="C370" s="7" t="s">
        <v>384</v>
      </c>
      <c r="D370" s="8"/>
      <c r="E370" s="218"/>
      <c r="F370" s="218"/>
      <c r="G370" s="218">
        <v>7.2</v>
      </c>
      <c r="H370" s="218"/>
      <c r="I370" s="218">
        <v>3.2</v>
      </c>
      <c r="J370" s="218"/>
      <c r="K370" s="218"/>
      <c r="L370" s="218"/>
      <c r="M370" s="273">
        <f>G370*I370</f>
        <v>23.040000000000003</v>
      </c>
      <c r="P370" s="1">
        <v>230.2</v>
      </c>
    </row>
    <row r="371" spans="1:16" x14ac:dyDescent="0.2">
      <c r="A371" s="231"/>
      <c r="B371" s="9"/>
      <c r="C371" s="7"/>
      <c r="D371" s="8"/>
      <c r="E371" s="218"/>
      <c r="F371" s="218">
        <v>0.6</v>
      </c>
      <c r="G371" s="218"/>
      <c r="H371" s="218"/>
      <c r="I371" s="218">
        <v>2.1</v>
      </c>
      <c r="J371" s="218"/>
      <c r="K371" s="218"/>
      <c r="L371" s="218"/>
      <c r="M371" s="273">
        <f>F371*I371</f>
        <v>1.26</v>
      </c>
      <c r="P371" s="1">
        <v>183.55</v>
      </c>
    </row>
    <row r="372" spans="1:16" x14ac:dyDescent="0.2">
      <c r="A372" s="231"/>
      <c r="B372" s="9"/>
      <c r="C372" s="7" t="s">
        <v>160</v>
      </c>
      <c r="D372" s="8"/>
      <c r="E372" s="218"/>
      <c r="F372" s="218"/>
      <c r="G372" s="218"/>
      <c r="H372" s="218"/>
      <c r="I372" s="218"/>
      <c r="J372" s="218"/>
      <c r="K372" s="218"/>
      <c r="L372" s="218"/>
      <c r="M372" s="273"/>
      <c r="P372" s="1">
        <f>P370-P371</f>
        <v>46.649999999999977</v>
      </c>
    </row>
    <row r="373" spans="1:16" x14ac:dyDescent="0.2">
      <c r="A373" s="231"/>
      <c r="B373" s="9"/>
      <c r="C373" s="7" t="s">
        <v>387</v>
      </c>
      <c r="D373" s="8"/>
      <c r="E373" s="218"/>
      <c r="F373" s="218">
        <v>0.6</v>
      </c>
      <c r="G373" s="218"/>
      <c r="H373" s="218"/>
      <c r="I373" s="218">
        <v>2.4</v>
      </c>
      <c r="J373" s="218"/>
      <c r="K373" s="218"/>
      <c r="L373" s="218"/>
      <c r="M373" s="273">
        <f>F373*I373</f>
        <v>1.44</v>
      </c>
    </row>
    <row r="374" spans="1:16" x14ac:dyDescent="0.2">
      <c r="A374" s="231"/>
      <c r="B374" s="9"/>
      <c r="C374" s="7" t="s">
        <v>388</v>
      </c>
      <c r="D374" s="8"/>
      <c r="E374" s="218">
        <v>2</v>
      </c>
      <c r="F374" s="218">
        <v>0.8</v>
      </c>
      <c r="G374" s="218"/>
      <c r="H374" s="218"/>
      <c r="I374" s="218">
        <v>2.1</v>
      </c>
      <c r="J374" s="218"/>
      <c r="K374" s="218"/>
      <c r="L374" s="218"/>
      <c r="M374" s="273">
        <f>E374*F374*I374</f>
        <v>3.3600000000000003</v>
      </c>
    </row>
    <row r="375" spans="1:16" x14ac:dyDescent="0.2">
      <c r="A375" s="231"/>
      <c r="B375" s="9"/>
      <c r="C375" s="7"/>
      <c r="D375" s="8"/>
      <c r="E375" s="218"/>
      <c r="F375" s="218"/>
      <c r="G375" s="218"/>
      <c r="H375" s="218"/>
      <c r="I375" s="218"/>
      <c r="J375" s="218"/>
      <c r="K375" s="218"/>
      <c r="L375" s="218"/>
      <c r="M375" s="273"/>
    </row>
    <row r="376" spans="1:16" x14ac:dyDescent="0.2">
      <c r="A376" s="231"/>
      <c r="B376" s="9"/>
      <c r="C376" s="7" t="s">
        <v>159</v>
      </c>
      <c r="D376" s="8"/>
      <c r="E376" s="218"/>
      <c r="F376" s="218"/>
      <c r="G376" s="218"/>
      <c r="H376" s="218"/>
      <c r="I376" s="218"/>
      <c r="J376" s="218"/>
      <c r="K376" s="218"/>
      <c r="L376" s="218"/>
      <c r="M376" s="273"/>
    </row>
    <row r="377" spans="1:16" x14ac:dyDescent="0.2">
      <c r="A377" s="231"/>
      <c r="B377" s="9"/>
      <c r="C377" s="7"/>
      <c r="D377" s="8"/>
      <c r="E377" s="218">
        <v>4</v>
      </c>
      <c r="F377" s="218">
        <v>1.05</v>
      </c>
      <c r="G377" s="218"/>
      <c r="H377" s="218"/>
      <c r="I377" s="218">
        <v>1.6</v>
      </c>
      <c r="J377" s="218"/>
      <c r="K377" s="218"/>
      <c r="L377" s="218"/>
      <c r="M377" s="273">
        <f>E377*F377*I377</f>
        <v>6.7200000000000006</v>
      </c>
    </row>
    <row r="378" spans="1:16" x14ac:dyDescent="0.2">
      <c r="A378" s="231"/>
      <c r="B378" s="9"/>
      <c r="C378" s="7"/>
      <c r="D378" s="8"/>
      <c r="E378" s="218"/>
      <c r="F378" s="218"/>
      <c r="G378" s="218"/>
      <c r="H378" s="218"/>
      <c r="I378" s="218"/>
      <c r="J378" s="218"/>
      <c r="K378" s="218"/>
      <c r="L378" s="218"/>
      <c r="M378" s="273"/>
    </row>
    <row r="379" spans="1:16" x14ac:dyDescent="0.2">
      <c r="A379" s="231"/>
      <c r="B379" s="9"/>
      <c r="C379" s="7" t="s">
        <v>389</v>
      </c>
      <c r="D379" s="8"/>
      <c r="E379" s="218"/>
      <c r="F379" s="218"/>
      <c r="G379" s="218"/>
      <c r="H379" s="218"/>
      <c r="I379" s="218"/>
      <c r="J379" s="218"/>
      <c r="K379" s="218"/>
      <c r="L379" s="218"/>
      <c r="M379" s="273"/>
    </row>
    <row r="380" spans="1:16" x14ac:dyDescent="0.2">
      <c r="A380" s="231"/>
      <c r="B380" s="9"/>
      <c r="C380" s="7"/>
      <c r="D380" s="8"/>
      <c r="E380" s="218">
        <v>2</v>
      </c>
      <c r="F380" s="218">
        <v>0.75</v>
      </c>
      <c r="G380" s="218"/>
      <c r="H380" s="218"/>
      <c r="I380" s="218">
        <v>1.6</v>
      </c>
      <c r="J380" s="218"/>
      <c r="K380" s="218"/>
      <c r="L380" s="218"/>
      <c r="M380" s="273">
        <f>E380*F380*I380</f>
        <v>2.4000000000000004</v>
      </c>
    </row>
    <row r="381" spans="1:16" x14ac:dyDescent="0.2">
      <c r="A381" s="231"/>
      <c r="B381" s="9"/>
      <c r="C381" s="7"/>
      <c r="D381" s="8"/>
      <c r="E381" s="218"/>
      <c r="F381" s="218"/>
      <c r="G381" s="218"/>
      <c r="H381" s="218"/>
      <c r="I381" s="218"/>
      <c r="J381" s="218"/>
      <c r="K381" s="218"/>
      <c r="L381" s="218"/>
      <c r="M381" s="273"/>
    </row>
    <row r="382" spans="1:16" x14ac:dyDescent="0.2">
      <c r="A382" s="231"/>
      <c r="B382" s="9"/>
      <c r="C382" s="7" t="s">
        <v>390</v>
      </c>
      <c r="D382" s="8"/>
      <c r="E382" s="218"/>
      <c r="F382" s="218"/>
      <c r="G382" s="218"/>
      <c r="H382" s="218"/>
      <c r="I382" s="218"/>
      <c r="J382" s="218"/>
      <c r="K382" s="218"/>
      <c r="L382" s="218"/>
      <c r="M382" s="273"/>
    </row>
    <row r="383" spans="1:16" ht="24" x14ac:dyDescent="0.2">
      <c r="A383" s="231"/>
      <c r="B383" s="9"/>
      <c r="C383" s="7" t="s">
        <v>391</v>
      </c>
      <c r="D383" s="8"/>
      <c r="E383" s="218"/>
      <c r="F383" s="218"/>
      <c r="G383" s="218">
        <v>7.15</v>
      </c>
      <c r="H383" s="218"/>
      <c r="I383" s="218">
        <v>2.4</v>
      </c>
      <c r="J383" s="218"/>
      <c r="K383" s="218"/>
      <c r="L383" s="218"/>
      <c r="M383" s="273">
        <f>G383*I383</f>
        <v>17.16</v>
      </c>
    </row>
    <row r="384" spans="1:16" ht="24" x14ac:dyDescent="0.2">
      <c r="A384" s="231"/>
      <c r="B384" s="9"/>
      <c r="C384" s="7" t="s">
        <v>392</v>
      </c>
      <c r="D384" s="8"/>
      <c r="E384" s="218"/>
      <c r="F384" s="218"/>
      <c r="G384" s="218">
        <v>6.3</v>
      </c>
      <c r="H384" s="218"/>
      <c r="I384" s="218">
        <v>2.4</v>
      </c>
      <c r="J384" s="218"/>
      <c r="K384" s="218"/>
      <c r="L384" s="218"/>
      <c r="M384" s="273">
        <f>G384*I384</f>
        <v>15.12</v>
      </c>
    </row>
    <row r="385" spans="1:13" ht="24" x14ac:dyDescent="0.2">
      <c r="A385" s="231"/>
      <c r="B385" s="9"/>
      <c r="C385" s="7" t="s">
        <v>393</v>
      </c>
      <c r="D385" s="8"/>
      <c r="E385" s="218"/>
      <c r="F385" s="218"/>
      <c r="G385" s="218">
        <v>7.01</v>
      </c>
      <c r="H385" s="218"/>
      <c r="I385" s="218">
        <v>2.4</v>
      </c>
      <c r="J385" s="218"/>
      <c r="K385" s="218"/>
      <c r="L385" s="218"/>
      <c r="M385" s="273">
        <f>G385*I385</f>
        <v>16.823999999999998</v>
      </c>
    </row>
    <row r="386" spans="1:13" x14ac:dyDescent="0.2">
      <c r="A386" s="231"/>
      <c r="B386" s="9"/>
      <c r="C386" s="7"/>
      <c r="D386" s="8"/>
      <c r="E386" s="218"/>
      <c r="F386" s="218"/>
      <c r="G386" s="218"/>
      <c r="H386" s="218"/>
      <c r="I386" s="218"/>
      <c r="J386" s="218"/>
      <c r="K386" s="218"/>
      <c r="L386" s="218"/>
      <c r="M386" s="273"/>
    </row>
    <row r="387" spans="1:13" x14ac:dyDescent="0.2">
      <c r="A387" s="236"/>
      <c r="B387" s="344"/>
      <c r="C387" s="345" t="s">
        <v>179</v>
      </c>
      <c r="D387" s="346"/>
      <c r="E387" s="347"/>
      <c r="F387" s="347"/>
      <c r="G387" s="347"/>
      <c r="H387" s="347"/>
      <c r="I387" s="347"/>
      <c r="J387" s="347"/>
      <c r="K387" s="347"/>
      <c r="L387" s="347"/>
      <c r="M387" s="342"/>
    </row>
    <row r="388" spans="1:13" x14ac:dyDescent="0.2">
      <c r="A388" s="231"/>
      <c r="B388" s="9"/>
      <c r="C388" s="7" t="s">
        <v>164</v>
      </c>
      <c r="D388" s="8"/>
      <c r="E388" s="218">
        <v>2</v>
      </c>
      <c r="F388" s="218">
        <v>3.25</v>
      </c>
      <c r="G388" s="218"/>
      <c r="H388" s="218"/>
      <c r="I388" s="218">
        <v>1.3</v>
      </c>
      <c r="J388" s="218"/>
      <c r="K388" s="218"/>
      <c r="L388" s="218"/>
      <c r="M388" s="273">
        <f>E388*F388*I388</f>
        <v>8.4500000000000011</v>
      </c>
    </row>
    <row r="389" spans="1:13" x14ac:dyDescent="0.2">
      <c r="A389" s="231"/>
      <c r="B389" s="9"/>
      <c r="C389" s="7"/>
      <c r="D389" s="8"/>
      <c r="E389" s="218">
        <v>4</v>
      </c>
      <c r="F389" s="218">
        <v>0.75</v>
      </c>
      <c r="G389" s="218"/>
      <c r="H389" s="218"/>
      <c r="I389" s="218">
        <v>1.3</v>
      </c>
      <c r="J389" s="218"/>
      <c r="K389" s="218"/>
      <c r="L389" s="218"/>
      <c r="M389" s="273">
        <f>E389*F389*I389</f>
        <v>3.9000000000000004</v>
      </c>
    </row>
    <row r="390" spans="1:13" x14ac:dyDescent="0.2">
      <c r="A390" s="231"/>
      <c r="B390" s="9"/>
      <c r="C390" s="7"/>
      <c r="D390" s="8"/>
      <c r="E390" s="218"/>
      <c r="F390" s="218"/>
      <c r="G390" s="218"/>
      <c r="H390" s="218"/>
      <c r="I390" s="218"/>
      <c r="J390" s="218"/>
      <c r="K390" s="218"/>
      <c r="L390" s="218"/>
      <c r="M390" s="273"/>
    </row>
    <row r="391" spans="1:13" x14ac:dyDescent="0.2">
      <c r="A391" s="231"/>
      <c r="B391" s="9"/>
      <c r="C391" s="7" t="s">
        <v>163</v>
      </c>
      <c r="D391" s="8"/>
      <c r="E391" s="218"/>
      <c r="F391" s="218"/>
      <c r="G391" s="218"/>
      <c r="H391" s="218"/>
      <c r="I391" s="218"/>
      <c r="J391" s="218"/>
      <c r="K391" s="218"/>
      <c r="L391" s="218"/>
      <c r="M391" s="273"/>
    </row>
    <row r="392" spans="1:13" x14ac:dyDescent="0.2">
      <c r="A392" s="231"/>
      <c r="B392" s="9"/>
      <c r="C392" s="7"/>
      <c r="D392" s="8"/>
      <c r="E392" s="218">
        <v>4</v>
      </c>
      <c r="F392" s="218">
        <v>1.05</v>
      </c>
      <c r="G392" s="218"/>
      <c r="H392" s="218"/>
      <c r="I392" s="218">
        <v>1.3</v>
      </c>
      <c r="J392" s="218"/>
      <c r="K392" s="218"/>
      <c r="L392" s="218"/>
      <c r="M392" s="273">
        <f>E392*F392*I392</f>
        <v>5.4600000000000009</v>
      </c>
    </row>
    <row r="393" spans="1:13" x14ac:dyDescent="0.2">
      <c r="A393" s="231"/>
      <c r="B393" s="9"/>
      <c r="C393" s="7"/>
      <c r="D393" s="8"/>
      <c r="E393" s="218"/>
      <c r="F393" s="218"/>
      <c r="G393" s="218"/>
      <c r="H393" s="218"/>
      <c r="I393" s="218"/>
      <c r="J393" s="218"/>
      <c r="K393" s="218"/>
      <c r="L393" s="218"/>
      <c r="M393" s="273"/>
    </row>
    <row r="394" spans="1:13" x14ac:dyDescent="0.2">
      <c r="A394" s="231"/>
      <c r="B394" s="9"/>
      <c r="C394" s="7" t="s">
        <v>203</v>
      </c>
      <c r="D394" s="8"/>
      <c r="E394" s="218"/>
      <c r="F394" s="218"/>
      <c r="G394" s="218"/>
      <c r="H394" s="218"/>
      <c r="I394" s="218"/>
      <c r="J394" s="218"/>
      <c r="K394" s="218"/>
      <c r="L394" s="218"/>
      <c r="M394" s="273"/>
    </row>
    <row r="395" spans="1:13" x14ac:dyDescent="0.2">
      <c r="A395" s="231"/>
      <c r="B395" s="9"/>
      <c r="C395" s="7"/>
      <c r="D395" s="8"/>
      <c r="E395" s="218">
        <v>2</v>
      </c>
      <c r="F395" s="218">
        <v>0.75</v>
      </c>
      <c r="G395" s="218"/>
      <c r="H395" s="218"/>
      <c r="I395" s="218">
        <v>1.3</v>
      </c>
      <c r="J395" s="218"/>
      <c r="K395" s="218"/>
      <c r="L395" s="218"/>
      <c r="M395" s="273">
        <f>E395*F395*I395</f>
        <v>1.9500000000000002</v>
      </c>
    </row>
    <row r="396" spans="1:13" x14ac:dyDescent="0.2">
      <c r="A396" s="231"/>
      <c r="B396" s="9"/>
      <c r="C396" s="7"/>
      <c r="D396" s="8"/>
      <c r="E396" s="218"/>
      <c r="F396" s="218"/>
      <c r="G396" s="218"/>
      <c r="H396" s="218"/>
      <c r="I396" s="218"/>
      <c r="J396" s="218"/>
      <c r="K396" s="218"/>
      <c r="L396" s="218"/>
      <c r="M396" s="273"/>
    </row>
    <row r="397" spans="1:13" x14ac:dyDescent="0.2">
      <c r="A397" s="231"/>
      <c r="B397" s="9"/>
      <c r="C397" s="7" t="s">
        <v>152</v>
      </c>
      <c r="D397" s="8"/>
      <c r="E397" s="218"/>
      <c r="F397" s="218"/>
      <c r="G397" s="218"/>
      <c r="H397" s="218"/>
      <c r="I397" s="218"/>
      <c r="J397" s="218"/>
      <c r="K397" s="218"/>
      <c r="L397" s="218"/>
      <c r="M397" s="273"/>
    </row>
    <row r="398" spans="1:13" x14ac:dyDescent="0.2">
      <c r="A398" s="231"/>
      <c r="B398" s="9"/>
      <c r="C398" s="7" t="s">
        <v>218</v>
      </c>
      <c r="D398" s="8"/>
      <c r="E398" s="218">
        <v>2</v>
      </c>
      <c r="F398" s="218">
        <v>3.25</v>
      </c>
      <c r="G398" s="218"/>
      <c r="H398" s="218"/>
      <c r="I398" s="218">
        <v>1.6</v>
      </c>
      <c r="J398" s="218"/>
      <c r="K398" s="218"/>
      <c r="L398" s="218"/>
      <c r="M398" s="273">
        <f>E398*F398*I398</f>
        <v>10.4</v>
      </c>
    </row>
    <row r="399" spans="1:13" x14ac:dyDescent="0.2">
      <c r="A399" s="231"/>
      <c r="B399" s="9"/>
      <c r="C399" s="7"/>
      <c r="D399" s="8"/>
      <c r="E399" s="218">
        <v>4</v>
      </c>
      <c r="F399" s="218">
        <v>0.75</v>
      </c>
      <c r="G399" s="218"/>
      <c r="H399" s="218"/>
      <c r="I399" s="218">
        <v>1.6</v>
      </c>
      <c r="J399" s="218"/>
      <c r="K399" s="218"/>
      <c r="L399" s="218"/>
      <c r="M399" s="273">
        <f>E399*F399*I399</f>
        <v>4.8000000000000007</v>
      </c>
    </row>
    <row r="400" spans="1:13" x14ac:dyDescent="0.2">
      <c r="A400" s="231"/>
      <c r="B400" s="9"/>
      <c r="C400" s="7"/>
      <c r="D400" s="17"/>
      <c r="E400" s="218"/>
      <c r="F400" s="218"/>
      <c r="G400" s="218"/>
      <c r="H400" s="218"/>
      <c r="I400" s="218"/>
      <c r="J400" s="218"/>
      <c r="K400" s="218"/>
      <c r="L400" s="218"/>
      <c r="M400" s="277"/>
    </row>
    <row r="401" spans="1:13" x14ac:dyDescent="0.2">
      <c r="A401" s="231"/>
      <c r="B401" s="9"/>
      <c r="C401" s="7" t="s">
        <v>394</v>
      </c>
      <c r="D401" s="17"/>
      <c r="E401" s="218"/>
      <c r="F401" s="218"/>
      <c r="G401" s="218"/>
      <c r="H401" s="218"/>
      <c r="I401" s="218"/>
      <c r="J401" s="218"/>
      <c r="K401" s="218"/>
      <c r="L401" s="218"/>
      <c r="M401" s="277"/>
    </row>
    <row r="402" spans="1:13" x14ac:dyDescent="0.2">
      <c r="A402" s="231"/>
      <c r="B402" s="9"/>
      <c r="C402" s="7" t="s">
        <v>395</v>
      </c>
      <c r="D402" s="17"/>
      <c r="E402" s="218">
        <v>2</v>
      </c>
      <c r="F402" s="218">
        <v>0.15</v>
      </c>
      <c r="G402" s="218"/>
      <c r="H402" s="218"/>
      <c r="I402" s="218">
        <v>2.8</v>
      </c>
      <c r="J402" s="218"/>
      <c r="K402" s="218"/>
      <c r="L402" s="218"/>
      <c r="M402" s="281">
        <f>E402*F402*I402</f>
        <v>0.84</v>
      </c>
    </row>
    <row r="403" spans="1:13" x14ac:dyDescent="0.2">
      <c r="A403" s="231"/>
      <c r="B403" s="9"/>
      <c r="C403" s="7" t="s">
        <v>388</v>
      </c>
      <c r="D403" s="17"/>
      <c r="E403" s="218">
        <v>2</v>
      </c>
      <c r="F403" s="218">
        <v>0.6</v>
      </c>
      <c r="G403" s="218"/>
      <c r="H403" s="218"/>
      <c r="I403" s="218">
        <v>2.1</v>
      </c>
      <c r="J403" s="218"/>
      <c r="K403" s="218"/>
      <c r="L403" s="218"/>
      <c r="M403" s="281">
        <f>E403*F403*I403</f>
        <v>2.52</v>
      </c>
    </row>
    <row r="404" spans="1:13" x14ac:dyDescent="0.2">
      <c r="A404" s="231"/>
      <c r="B404" s="9"/>
      <c r="C404" s="7"/>
      <c r="D404" s="17"/>
      <c r="E404" s="218"/>
      <c r="F404" s="218"/>
      <c r="G404" s="218"/>
      <c r="H404" s="218"/>
      <c r="I404" s="218"/>
      <c r="J404" s="218"/>
      <c r="K404" s="218"/>
      <c r="L404" s="218"/>
      <c r="M404" s="277"/>
    </row>
    <row r="405" spans="1:13" x14ac:dyDescent="0.2">
      <c r="A405" s="231"/>
      <c r="B405" s="9"/>
      <c r="C405" s="7" t="s">
        <v>396</v>
      </c>
      <c r="D405" s="8"/>
      <c r="E405" s="218">
        <v>2</v>
      </c>
      <c r="F405" s="218">
        <v>1.05</v>
      </c>
      <c r="G405" s="218"/>
      <c r="H405" s="218"/>
      <c r="I405" s="218">
        <v>1.6</v>
      </c>
      <c r="J405" s="218"/>
      <c r="K405" s="218"/>
      <c r="L405" s="218"/>
      <c r="M405" s="273">
        <f>E405*F405*I405</f>
        <v>3.3600000000000003</v>
      </c>
    </row>
    <row r="406" spans="1:13" x14ac:dyDescent="0.2">
      <c r="A406" s="231"/>
      <c r="B406" s="9"/>
      <c r="C406" s="7"/>
      <c r="D406" s="17"/>
      <c r="E406" s="218"/>
      <c r="F406" s="218"/>
      <c r="G406" s="218"/>
      <c r="H406" s="218"/>
      <c r="I406" s="218"/>
      <c r="J406" s="218"/>
      <c r="K406" s="218"/>
      <c r="L406" s="218"/>
      <c r="M406" s="277"/>
    </row>
    <row r="407" spans="1:13" x14ac:dyDescent="0.2">
      <c r="A407" s="231"/>
      <c r="B407" s="9"/>
      <c r="C407" s="7" t="s">
        <v>171</v>
      </c>
      <c r="D407" s="17"/>
      <c r="E407" s="218"/>
      <c r="F407" s="218"/>
      <c r="G407" s="218"/>
      <c r="H407" s="218"/>
      <c r="I407" s="218"/>
      <c r="J407" s="218"/>
      <c r="K407" s="218"/>
      <c r="L407" s="218"/>
      <c r="M407" s="273"/>
    </row>
    <row r="408" spans="1:13" x14ac:dyDescent="0.2">
      <c r="A408" s="231"/>
      <c r="B408" s="9"/>
      <c r="C408" s="7"/>
      <c r="D408" s="8"/>
      <c r="E408" s="218">
        <v>2</v>
      </c>
      <c r="F408" s="218">
        <v>1.05</v>
      </c>
      <c r="G408" s="218"/>
      <c r="H408" s="218"/>
      <c r="I408" s="218">
        <v>1.6</v>
      </c>
      <c r="J408" s="218"/>
      <c r="K408" s="218"/>
      <c r="L408" s="218"/>
      <c r="M408" s="273">
        <f>E408*F408*I408</f>
        <v>3.3600000000000003</v>
      </c>
    </row>
    <row r="409" spans="1:13" x14ac:dyDescent="0.2">
      <c r="A409" s="231"/>
      <c r="B409" s="9"/>
      <c r="C409" s="7" t="s">
        <v>397</v>
      </c>
      <c r="D409" s="17"/>
      <c r="E409" s="218">
        <v>2</v>
      </c>
      <c r="F409" s="218">
        <v>0.8</v>
      </c>
      <c r="G409" s="218"/>
      <c r="H409" s="218"/>
      <c r="I409" s="218">
        <v>2.1</v>
      </c>
      <c r="J409" s="218"/>
      <c r="K409" s="218"/>
      <c r="L409" s="218"/>
      <c r="M409" s="281">
        <f>E409*F409*I409</f>
        <v>3.3600000000000003</v>
      </c>
    </row>
    <row r="410" spans="1:13" x14ac:dyDescent="0.2">
      <c r="A410" s="231"/>
      <c r="B410" s="9"/>
      <c r="C410" s="7" t="s">
        <v>387</v>
      </c>
      <c r="D410" s="17"/>
      <c r="E410" s="218">
        <v>2</v>
      </c>
      <c r="F410" s="218">
        <v>0.15</v>
      </c>
      <c r="G410" s="218"/>
      <c r="H410" s="218"/>
      <c r="I410" s="218">
        <v>2.8</v>
      </c>
      <c r="J410" s="218"/>
      <c r="K410" s="218"/>
      <c r="L410" s="218"/>
      <c r="M410" s="281">
        <f>E410*F410*I410</f>
        <v>0.84</v>
      </c>
    </row>
    <row r="411" spans="1:13" x14ac:dyDescent="0.2">
      <c r="A411" s="231"/>
      <c r="B411" s="9"/>
      <c r="C411" s="7"/>
      <c r="D411" s="17"/>
      <c r="E411" s="218"/>
      <c r="F411" s="218"/>
      <c r="G411" s="218"/>
      <c r="H411" s="218"/>
      <c r="I411" s="218"/>
      <c r="J411" s="218"/>
      <c r="K411" s="218"/>
      <c r="L411" s="218"/>
      <c r="M411" s="281"/>
    </row>
    <row r="412" spans="1:13" x14ac:dyDescent="0.2">
      <c r="A412" s="231"/>
      <c r="B412" s="9"/>
      <c r="C412" s="7" t="s">
        <v>223</v>
      </c>
      <c r="D412" s="17"/>
      <c r="E412" s="218"/>
      <c r="F412" s="218"/>
      <c r="G412" s="218"/>
      <c r="H412" s="218"/>
      <c r="I412" s="218"/>
      <c r="J412" s="218"/>
      <c r="K412" s="218"/>
      <c r="L412" s="218"/>
      <c r="M412" s="277"/>
    </row>
    <row r="413" spans="1:13" x14ac:dyDescent="0.2">
      <c r="A413" s="231"/>
      <c r="B413" s="9"/>
      <c r="C413" s="7"/>
      <c r="D413" s="8"/>
      <c r="E413" s="218">
        <v>2</v>
      </c>
      <c r="F413" s="218">
        <v>0.75</v>
      </c>
      <c r="G413" s="218"/>
      <c r="H413" s="218"/>
      <c r="I413" s="218">
        <v>1.6</v>
      </c>
      <c r="J413" s="218"/>
      <c r="K413" s="218"/>
      <c r="L413" s="218"/>
      <c r="M413" s="273">
        <f>E413*F413*I413</f>
        <v>2.4000000000000004</v>
      </c>
    </row>
    <row r="414" spans="1:13" x14ac:dyDescent="0.2">
      <c r="A414" s="231"/>
      <c r="B414" s="9"/>
      <c r="C414" s="7"/>
      <c r="D414" s="17"/>
      <c r="E414" s="218"/>
      <c r="F414" s="218"/>
      <c r="G414" s="218"/>
      <c r="H414" s="218"/>
      <c r="I414" s="218"/>
      <c r="J414" s="218"/>
      <c r="K414" s="218"/>
      <c r="L414" s="218"/>
      <c r="M414" s="281"/>
    </row>
    <row r="415" spans="1:13" x14ac:dyDescent="0.2">
      <c r="A415" s="231"/>
      <c r="B415" s="9"/>
      <c r="C415" s="7" t="s">
        <v>398</v>
      </c>
      <c r="D415" s="17"/>
      <c r="E415" s="218">
        <v>2</v>
      </c>
      <c r="F415" s="218">
        <v>1.2</v>
      </c>
      <c r="G415" s="218"/>
      <c r="H415" s="218"/>
      <c r="I415" s="218">
        <v>0.8</v>
      </c>
      <c r="J415" s="218"/>
      <c r="K415" s="218"/>
      <c r="L415" s="218"/>
      <c r="M415" s="281">
        <f>E415*F415*I415</f>
        <v>1.92</v>
      </c>
    </row>
    <row r="416" spans="1:13" x14ac:dyDescent="0.2">
      <c r="A416" s="231"/>
      <c r="B416" s="9"/>
      <c r="C416" s="7"/>
      <c r="D416" s="17"/>
      <c r="E416" s="218"/>
      <c r="F416" s="218"/>
      <c r="G416" s="218"/>
      <c r="H416" s="218"/>
      <c r="I416" s="218"/>
      <c r="J416" s="218"/>
      <c r="K416" s="218"/>
      <c r="L416" s="218"/>
      <c r="M416" s="281"/>
    </row>
    <row r="417" spans="1:13" x14ac:dyDescent="0.2">
      <c r="A417" s="231"/>
      <c r="B417" s="9"/>
      <c r="C417" s="7" t="s">
        <v>399</v>
      </c>
      <c r="D417" s="17"/>
      <c r="E417" s="218"/>
      <c r="F417" s="218"/>
      <c r="G417" s="218"/>
      <c r="H417" s="218"/>
      <c r="I417" s="218"/>
      <c r="J417" s="218"/>
      <c r="K417" s="218"/>
      <c r="L417" s="218"/>
      <c r="M417" s="281"/>
    </row>
    <row r="418" spans="1:13" x14ac:dyDescent="0.2">
      <c r="A418" s="231"/>
      <c r="B418" s="9"/>
      <c r="C418" s="7" t="s">
        <v>401</v>
      </c>
      <c r="D418" s="17"/>
      <c r="E418" s="218"/>
      <c r="F418" s="218"/>
      <c r="G418" s="218">
        <v>9.1999999999999993</v>
      </c>
      <c r="H418" s="218"/>
      <c r="I418" s="218">
        <v>2.8</v>
      </c>
      <c r="J418" s="218"/>
      <c r="K418" s="218"/>
      <c r="L418" s="218"/>
      <c r="M418" s="281">
        <f>G418*I418</f>
        <v>25.759999999999998</v>
      </c>
    </row>
    <row r="419" spans="1:13" x14ac:dyDescent="0.2">
      <c r="A419" s="231"/>
      <c r="B419" s="9"/>
      <c r="C419" s="7"/>
      <c r="D419" s="17"/>
      <c r="E419" s="218"/>
      <c r="F419" s="218"/>
      <c r="G419" s="218"/>
      <c r="H419" s="218"/>
      <c r="I419" s="218"/>
      <c r="J419" s="218"/>
      <c r="K419" s="218"/>
      <c r="L419" s="218"/>
      <c r="M419" s="281"/>
    </row>
    <row r="420" spans="1:13" x14ac:dyDescent="0.2">
      <c r="A420" s="231"/>
      <c r="B420" s="9"/>
      <c r="C420" s="7" t="s">
        <v>400</v>
      </c>
      <c r="D420" s="17"/>
      <c r="E420" s="218"/>
      <c r="F420" s="218"/>
      <c r="G420" s="218"/>
      <c r="H420" s="218"/>
      <c r="I420" s="218"/>
      <c r="J420" s="218"/>
      <c r="K420" s="218"/>
      <c r="L420" s="218"/>
      <c r="M420" s="281"/>
    </row>
    <row r="421" spans="1:13" x14ac:dyDescent="0.2">
      <c r="A421" s="231"/>
      <c r="B421" s="9"/>
      <c r="C421" s="7" t="s">
        <v>401</v>
      </c>
      <c r="D421" s="17"/>
      <c r="E421" s="218"/>
      <c r="F421" s="218"/>
      <c r="G421" s="218">
        <v>9.1999999999999993</v>
      </c>
      <c r="H421" s="218"/>
      <c r="I421" s="218">
        <v>2.8</v>
      </c>
      <c r="J421" s="218"/>
      <c r="K421" s="218"/>
      <c r="L421" s="218"/>
      <c r="M421" s="281">
        <f>G421*I421</f>
        <v>25.759999999999998</v>
      </c>
    </row>
    <row r="422" spans="1:13" x14ac:dyDescent="0.2">
      <c r="A422" s="231"/>
      <c r="B422" s="9"/>
      <c r="C422" s="7"/>
      <c r="D422" s="17"/>
      <c r="E422" s="218"/>
      <c r="F422" s="218"/>
      <c r="G422" s="218"/>
      <c r="H422" s="218"/>
      <c r="I422" s="218"/>
      <c r="J422" s="218"/>
      <c r="K422" s="218"/>
      <c r="L422" s="218"/>
      <c r="M422" s="281"/>
    </row>
    <row r="423" spans="1:13" x14ac:dyDescent="0.2">
      <c r="A423" s="231"/>
      <c r="B423" s="9"/>
      <c r="C423" s="7" t="s">
        <v>209</v>
      </c>
      <c r="D423" s="17"/>
      <c r="E423" s="218"/>
      <c r="F423" s="218"/>
      <c r="G423" s="218"/>
      <c r="H423" s="218"/>
      <c r="I423" s="218"/>
      <c r="J423" s="218"/>
      <c r="K423" s="218"/>
      <c r="L423" s="218"/>
      <c r="M423" s="281"/>
    </row>
    <row r="424" spans="1:13" x14ac:dyDescent="0.2">
      <c r="A424" s="231"/>
      <c r="B424" s="9"/>
      <c r="C424" s="7"/>
      <c r="D424" s="8"/>
      <c r="E424" s="218">
        <v>2</v>
      </c>
      <c r="F424" s="218">
        <v>1.05</v>
      </c>
      <c r="G424" s="218"/>
      <c r="H424" s="218"/>
      <c r="I424" s="218">
        <v>1.6</v>
      </c>
      <c r="J424" s="218"/>
      <c r="K424" s="218"/>
      <c r="L424" s="218"/>
      <c r="M424" s="273">
        <f>E424*F424*I424</f>
        <v>3.3600000000000003</v>
      </c>
    </row>
    <row r="425" spans="1:13" x14ac:dyDescent="0.2">
      <c r="A425" s="231"/>
      <c r="B425" s="9"/>
      <c r="C425" s="7"/>
      <c r="D425" s="17"/>
      <c r="E425" s="218"/>
      <c r="F425" s="218"/>
      <c r="G425" s="218"/>
      <c r="H425" s="218"/>
      <c r="I425" s="218"/>
      <c r="J425" s="218"/>
      <c r="K425" s="218"/>
      <c r="L425" s="218"/>
      <c r="M425" s="277"/>
    </row>
    <row r="426" spans="1:13" x14ac:dyDescent="0.2">
      <c r="A426" s="231"/>
      <c r="B426" s="9"/>
      <c r="C426" s="7"/>
      <c r="D426" s="17"/>
      <c r="E426" s="218"/>
      <c r="F426" s="218"/>
      <c r="G426" s="218"/>
      <c r="H426" s="218"/>
      <c r="I426" s="218"/>
      <c r="J426" s="218"/>
      <c r="K426" s="218"/>
      <c r="L426" s="218"/>
      <c r="M426" s="277"/>
    </row>
    <row r="427" spans="1:13" ht="36" x14ac:dyDescent="0.2">
      <c r="A427" s="231" t="s">
        <v>90</v>
      </c>
      <c r="B427" s="9" t="s">
        <v>350</v>
      </c>
      <c r="C427" s="7" t="s">
        <v>282</v>
      </c>
      <c r="D427" s="17" t="s">
        <v>17</v>
      </c>
      <c r="E427" s="218"/>
      <c r="F427" s="218"/>
      <c r="G427" s="218"/>
      <c r="H427" s="218"/>
      <c r="I427" s="218"/>
      <c r="J427" s="218"/>
      <c r="K427" s="218"/>
      <c r="L427" s="218"/>
      <c r="M427" s="272">
        <f>SUM(M428)</f>
        <v>235.96400000000008</v>
      </c>
    </row>
    <row r="428" spans="1:13" x14ac:dyDescent="0.2">
      <c r="A428" s="231"/>
      <c r="B428" s="9"/>
      <c r="C428" s="7" t="s">
        <v>402</v>
      </c>
      <c r="D428" s="17"/>
      <c r="E428" s="218"/>
      <c r="F428" s="218"/>
      <c r="G428" s="218"/>
      <c r="H428" s="218"/>
      <c r="I428" s="218"/>
      <c r="J428" s="218">
        <f>M359</f>
        <v>235.96400000000008</v>
      </c>
      <c r="K428" s="218"/>
      <c r="L428" s="218"/>
      <c r="M428" s="273">
        <f>J428</f>
        <v>235.96400000000008</v>
      </c>
    </row>
    <row r="429" spans="1:13" x14ac:dyDescent="0.2">
      <c r="A429" s="231"/>
      <c r="B429" s="9"/>
      <c r="C429" s="7"/>
      <c r="D429" s="17"/>
      <c r="E429" s="218"/>
      <c r="F429" s="218"/>
      <c r="G429" s="218"/>
      <c r="H429" s="218"/>
      <c r="I429" s="218"/>
      <c r="J429" s="218"/>
      <c r="K429" s="218"/>
      <c r="L429" s="218"/>
      <c r="M429" s="273"/>
    </row>
    <row r="430" spans="1:13" x14ac:dyDescent="0.2">
      <c r="A430" s="231"/>
      <c r="B430" s="9"/>
      <c r="C430" s="7"/>
      <c r="D430" s="17"/>
      <c r="E430" s="218"/>
      <c r="F430" s="218"/>
      <c r="G430" s="218"/>
      <c r="H430" s="218"/>
      <c r="I430" s="218"/>
      <c r="J430" s="218"/>
      <c r="K430" s="218"/>
      <c r="L430" s="218"/>
      <c r="M430" s="273"/>
    </row>
    <row r="431" spans="1:13" ht="48" x14ac:dyDescent="0.2">
      <c r="A431" s="231" t="s">
        <v>91</v>
      </c>
      <c r="B431" s="9" t="s">
        <v>351</v>
      </c>
      <c r="C431" s="7" t="s">
        <v>283</v>
      </c>
      <c r="D431" s="17" t="s">
        <v>17</v>
      </c>
      <c r="E431" s="218"/>
      <c r="F431" s="218"/>
      <c r="G431" s="218"/>
      <c r="H431" s="218"/>
      <c r="I431" s="218"/>
      <c r="J431" s="218"/>
      <c r="K431" s="218"/>
      <c r="L431" s="218"/>
      <c r="M431" s="272">
        <f>SUM(M434:M498)</f>
        <v>189.30650000000009</v>
      </c>
    </row>
    <row r="432" spans="1:13" x14ac:dyDescent="0.2">
      <c r="A432" s="231"/>
      <c r="B432" s="9"/>
      <c r="C432" s="7"/>
      <c r="D432" s="17"/>
      <c r="E432" s="218"/>
      <c r="F432" s="218"/>
      <c r="G432" s="218"/>
      <c r="H432" s="218"/>
      <c r="I432" s="218"/>
      <c r="J432" s="218"/>
      <c r="K432" s="218"/>
      <c r="L432" s="218"/>
      <c r="M432" s="277"/>
    </row>
    <row r="433" spans="1:13" x14ac:dyDescent="0.2">
      <c r="A433" s="231"/>
      <c r="B433" s="9"/>
      <c r="C433" s="7" t="s">
        <v>150</v>
      </c>
      <c r="D433" s="8"/>
      <c r="E433" s="218"/>
      <c r="F433" s="218"/>
      <c r="G433" s="218"/>
      <c r="H433" s="218"/>
      <c r="I433" s="218"/>
      <c r="J433" s="218"/>
      <c r="K433" s="218"/>
      <c r="L433" s="218"/>
      <c r="M433" s="273"/>
    </row>
    <row r="434" spans="1:13" x14ac:dyDescent="0.2">
      <c r="A434" s="231"/>
      <c r="B434" s="9"/>
      <c r="C434" s="7" t="s">
        <v>385</v>
      </c>
      <c r="D434" s="8"/>
      <c r="E434" s="218"/>
      <c r="F434" s="218"/>
      <c r="G434" s="218">
        <v>10</v>
      </c>
      <c r="H434" s="218"/>
      <c r="I434" s="218">
        <v>2.2999999999999998</v>
      </c>
      <c r="J434" s="218">
        <f>G434*I434</f>
        <v>23</v>
      </c>
      <c r="K434" s="218"/>
      <c r="L434" s="218"/>
      <c r="M434" s="273">
        <f>J434</f>
        <v>23</v>
      </c>
    </row>
    <row r="435" spans="1:13" x14ac:dyDescent="0.2">
      <c r="A435" s="231"/>
      <c r="B435" s="9"/>
      <c r="C435" s="7" t="s">
        <v>383</v>
      </c>
      <c r="D435" s="8"/>
      <c r="E435" s="218"/>
      <c r="F435" s="218"/>
      <c r="G435" s="218"/>
      <c r="H435" s="218"/>
      <c r="I435" s="218"/>
      <c r="J435" s="218">
        <v>2</v>
      </c>
      <c r="K435" s="218"/>
      <c r="L435" s="218"/>
      <c r="M435" s="273">
        <f>J435</f>
        <v>2</v>
      </c>
    </row>
    <row r="436" spans="1:13" x14ac:dyDescent="0.2">
      <c r="A436" s="231"/>
      <c r="B436" s="9"/>
      <c r="C436" s="7"/>
      <c r="D436" s="8"/>
      <c r="E436" s="218"/>
      <c r="F436" s="218"/>
      <c r="G436" s="218"/>
      <c r="H436" s="218"/>
      <c r="I436" s="218"/>
      <c r="J436" s="218"/>
      <c r="K436" s="218"/>
      <c r="L436" s="218"/>
      <c r="M436" s="273"/>
    </row>
    <row r="437" spans="1:13" x14ac:dyDescent="0.2">
      <c r="A437" s="231"/>
      <c r="B437" s="9"/>
      <c r="C437" s="7" t="s">
        <v>151</v>
      </c>
      <c r="D437" s="8"/>
      <c r="E437" s="218"/>
      <c r="F437" s="218"/>
      <c r="G437" s="218"/>
      <c r="H437" s="218"/>
      <c r="I437" s="218"/>
      <c r="J437" s="218"/>
      <c r="K437" s="218"/>
      <c r="L437" s="218"/>
      <c r="M437" s="273"/>
    </row>
    <row r="438" spans="1:13" x14ac:dyDescent="0.2">
      <c r="A438" s="231"/>
      <c r="B438" s="9"/>
      <c r="C438" s="7" t="s">
        <v>158</v>
      </c>
      <c r="D438" s="8"/>
      <c r="E438" s="218">
        <v>2</v>
      </c>
      <c r="F438" s="218">
        <v>3.25</v>
      </c>
      <c r="G438" s="218"/>
      <c r="H438" s="218"/>
      <c r="I438" s="218">
        <v>1.6</v>
      </c>
      <c r="J438" s="218">
        <f>E438*I438*F438</f>
        <v>10.4</v>
      </c>
      <c r="K438" s="218"/>
      <c r="L438" s="218"/>
      <c r="M438" s="273">
        <f>J438</f>
        <v>10.4</v>
      </c>
    </row>
    <row r="439" spans="1:13" x14ac:dyDescent="0.2">
      <c r="A439" s="231"/>
      <c r="B439" s="9" t="s">
        <v>154</v>
      </c>
      <c r="C439" s="7"/>
      <c r="D439" s="8"/>
      <c r="E439" s="218">
        <v>4</v>
      </c>
      <c r="F439" s="218">
        <v>0.75</v>
      </c>
      <c r="G439" s="218"/>
      <c r="H439" s="218"/>
      <c r="I439" s="218">
        <v>1.6</v>
      </c>
      <c r="J439" s="218">
        <f>E439*I439*F439</f>
        <v>4.8000000000000007</v>
      </c>
      <c r="K439" s="218"/>
      <c r="L439" s="218"/>
      <c r="M439" s="273">
        <f>J439</f>
        <v>4.8000000000000007</v>
      </c>
    </row>
    <row r="440" spans="1:13" x14ac:dyDescent="0.2">
      <c r="A440" s="231"/>
      <c r="B440" s="9"/>
      <c r="C440" s="7"/>
      <c r="D440" s="8"/>
      <c r="E440" s="218"/>
      <c r="F440" s="218"/>
      <c r="G440" s="218"/>
      <c r="H440" s="218"/>
      <c r="I440" s="218"/>
      <c r="J440" s="218"/>
      <c r="K440" s="218"/>
      <c r="L440" s="218"/>
      <c r="M440" s="273"/>
    </row>
    <row r="441" spans="1:13" x14ac:dyDescent="0.2">
      <c r="A441" s="231"/>
      <c r="B441" s="9"/>
      <c r="C441" s="7" t="s">
        <v>386</v>
      </c>
      <c r="D441" s="8"/>
      <c r="E441" s="218"/>
      <c r="F441" s="218"/>
      <c r="G441" s="218"/>
      <c r="H441" s="218"/>
      <c r="I441" s="218"/>
      <c r="J441" s="218"/>
      <c r="K441" s="218"/>
      <c r="L441" s="218"/>
      <c r="M441" s="273"/>
    </row>
    <row r="442" spans="1:13" x14ac:dyDescent="0.2">
      <c r="A442" s="231"/>
      <c r="B442" s="9"/>
      <c r="C442" s="7" t="s">
        <v>384</v>
      </c>
      <c r="D442" s="8"/>
      <c r="E442" s="218"/>
      <c r="F442" s="218"/>
      <c r="G442" s="218">
        <v>7.2</v>
      </c>
      <c r="H442" s="218"/>
      <c r="I442" s="218">
        <v>3.2</v>
      </c>
      <c r="J442" s="218">
        <f>G442*I442</f>
        <v>23.040000000000003</v>
      </c>
      <c r="K442" s="218"/>
      <c r="L442" s="218"/>
      <c r="M442" s="273">
        <f>J442</f>
        <v>23.040000000000003</v>
      </c>
    </row>
    <row r="443" spans="1:13" x14ac:dyDescent="0.2">
      <c r="A443" s="231"/>
      <c r="B443" s="9"/>
      <c r="C443" s="7" t="s">
        <v>388</v>
      </c>
      <c r="D443" s="8"/>
      <c r="E443" s="218"/>
      <c r="F443" s="218">
        <v>0.6</v>
      </c>
      <c r="G443" s="218"/>
      <c r="H443" s="218"/>
      <c r="I443" s="218">
        <v>2.1</v>
      </c>
      <c r="J443" s="218">
        <f>F443*I443</f>
        <v>1.26</v>
      </c>
      <c r="K443" s="218"/>
      <c r="L443" s="218"/>
      <c r="M443" s="273">
        <f>J443</f>
        <v>1.26</v>
      </c>
    </row>
    <row r="444" spans="1:13" x14ac:dyDescent="0.2">
      <c r="A444" s="231"/>
      <c r="B444" s="9"/>
      <c r="C444" s="7"/>
      <c r="D444" s="8"/>
      <c r="E444" s="218"/>
      <c r="F444" s="218"/>
      <c r="G444" s="218"/>
      <c r="H444" s="218"/>
      <c r="I444" s="218"/>
      <c r="J444" s="218"/>
      <c r="K444" s="218"/>
      <c r="L444" s="218"/>
      <c r="M444" s="273"/>
    </row>
    <row r="445" spans="1:13" x14ac:dyDescent="0.2">
      <c r="A445" s="231"/>
      <c r="B445" s="9"/>
      <c r="C445" s="7" t="s">
        <v>160</v>
      </c>
      <c r="D445" s="8"/>
      <c r="E445" s="218"/>
      <c r="F445" s="218"/>
      <c r="G445" s="218"/>
      <c r="H445" s="218"/>
      <c r="I445" s="218"/>
      <c r="J445" s="218"/>
      <c r="K445" s="218"/>
      <c r="L445" s="218"/>
      <c r="M445" s="273"/>
    </row>
    <row r="446" spans="1:13" x14ac:dyDescent="0.2">
      <c r="A446" s="231"/>
      <c r="B446" s="9"/>
      <c r="C446" s="7" t="s">
        <v>387</v>
      </c>
      <c r="D446" s="8"/>
      <c r="E446" s="218"/>
      <c r="F446" s="218">
        <v>0.6</v>
      </c>
      <c r="G446" s="218"/>
      <c r="H446" s="218"/>
      <c r="I446" s="218">
        <v>2.4</v>
      </c>
      <c r="J446" s="218">
        <f>I446*F446</f>
        <v>1.44</v>
      </c>
      <c r="K446" s="218"/>
      <c r="L446" s="218"/>
      <c r="M446" s="273">
        <f>J446</f>
        <v>1.44</v>
      </c>
    </row>
    <row r="447" spans="1:13" x14ac:dyDescent="0.2">
      <c r="A447" s="231"/>
      <c r="B447" s="9"/>
      <c r="C447" s="7" t="s">
        <v>388</v>
      </c>
      <c r="D447" s="8"/>
      <c r="E447" s="218">
        <v>2</v>
      </c>
      <c r="F447" s="218">
        <v>0.8</v>
      </c>
      <c r="G447" s="218"/>
      <c r="H447" s="218"/>
      <c r="I447" s="218">
        <v>2.1</v>
      </c>
      <c r="J447" s="218">
        <f>E447*I447*F447</f>
        <v>3.3600000000000003</v>
      </c>
      <c r="K447" s="218"/>
      <c r="L447" s="218"/>
      <c r="M447" s="273">
        <f>J447</f>
        <v>3.3600000000000003</v>
      </c>
    </row>
    <row r="448" spans="1:13" x14ac:dyDescent="0.2">
      <c r="A448" s="231"/>
      <c r="B448" s="9"/>
      <c r="C448" s="7"/>
      <c r="D448" s="8"/>
      <c r="E448" s="218"/>
      <c r="F448" s="218"/>
      <c r="G448" s="218"/>
      <c r="H448" s="218"/>
      <c r="I448" s="218"/>
      <c r="J448" s="218"/>
      <c r="K448" s="218"/>
      <c r="L448" s="218"/>
      <c r="M448" s="273"/>
    </row>
    <row r="449" spans="1:13" x14ac:dyDescent="0.2">
      <c r="A449" s="231"/>
      <c r="B449" s="9"/>
      <c r="C449" s="7" t="s">
        <v>159</v>
      </c>
      <c r="D449" s="8"/>
      <c r="E449" s="218"/>
      <c r="F449" s="218"/>
      <c r="G449" s="218"/>
      <c r="H449" s="218"/>
      <c r="I449" s="218"/>
      <c r="J449" s="218"/>
      <c r="K449" s="218"/>
      <c r="L449" s="218"/>
      <c r="M449" s="273"/>
    </row>
    <row r="450" spans="1:13" x14ac:dyDescent="0.2">
      <c r="A450" s="231"/>
      <c r="B450" s="9"/>
      <c r="C450" s="7"/>
      <c r="D450" s="8"/>
      <c r="E450" s="218">
        <v>4</v>
      </c>
      <c r="F450" s="218">
        <v>1.05</v>
      </c>
      <c r="G450" s="218"/>
      <c r="H450" s="218"/>
      <c r="I450" s="218">
        <v>1.6</v>
      </c>
      <c r="J450" s="218">
        <f>E450*I450*F450</f>
        <v>6.7200000000000006</v>
      </c>
      <c r="K450" s="218"/>
      <c r="L450" s="218"/>
      <c r="M450" s="273">
        <f>J450</f>
        <v>6.7200000000000006</v>
      </c>
    </row>
    <row r="451" spans="1:13" x14ac:dyDescent="0.2">
      <c r="A451" s="231"/>
      <c r="B451" s="9"/>
      <c r="C451" s="7"/>
      <c r="D451" s="8"/>
      <c r="E451" s="218"/>
      <c r="F451" s="218"/>
      <c r="G451" s="218"/>
      <c r="H451" s="218"/>
      <c r="I451" s="218"/>
      <c r="J451" s="218"/>
      <c r="K451" s="218"/>
      <c r="L451" s="218"/>
      <c r="M451" s="273"/>
    </row>
    <row r="452" spans="1:13" x14ac:dyDescent="0.2">
      <c r="A452" s="231"/>
      <c r="B452" s="9"/>
      <c r="C452" s="7" t="s">
        <v>389</v>
      </c>
      <c r="D452" s="8"/>
      <c r="E452" s="218"/>
      <c r="F452" s="218"/>
      <c r="G452" s="218"/>
      <c r="H452" s="218"/>
      <c r="I452" s="218"/>
      <c r="J452" s="218"/>
      <c r="K452" s="218"/>
      <c r="L452" s="218"/>
      <c r="M452" s="273"/>
    </row>
    <row r="453" spans="1:13" x14ac:dyDescent="0.2">
      <c r="A453" s="231"/>
      <c r="B453" s="9"/>
      <c r="C453" s="7"/>
      <c r="D453" s="8"/>
      <c r="E453" s="218">
        <v>2</v>
      </c>
      <c r="F453" s="218">
        <v>0.75</v>
      </c>
      <c r="G453" s="218"/>
      <c r="H453" s="218"/>
      <c r="I453" s="218">
        <v>1.6</v>
      </c>
      <c r="J453" s="218">
        <f>E453*I453*F453</f>
        <v>2.4000000000000004</v>
      </c>
      <c r="K453" s="218"/>
      <c r="L453" s="218"/>
      <c r="M453" s="273">
        <f>J453</f>
        <v>2.4000000000000004</v>
      </c>
    </row>
    <row r="454" spans="1:13" x14ac:dyDescent="0.2">
      <c r="A454" s="231"/>
      <c r="B454" s="9"/>
      <c r="C454" s="7"/>
      <c r="D454" s="8"/>
      <c r="E454" s="218"/>
      <c r="F454" s="218"/>
      <c r="G454" s="218"/>
      <c r="H454" s="218"/>
      <c r="I454" s="218"/>
      <c r="J454" s="218"/>
      <c r="K454" s="218"/>
      <c r="L454" s="218"/>
      <c r="M454" s="273"/>
    </row>
    <row r="455" spans="1:13" x14ac:dyDescent="0.2">
      <c r="A455" s="231"/>
      <c r="B455" s="9"/>
      <c r="C455" s="7" t="s">
        <v>390</v>
      </c>
      <c r="D455" s="8"/>
      <c r="E455" s="218"/>
      <c r="F455" s="218"/>
      <c r="G455" s="218"/>
      <c r="H455" s="218"/>
      <c r="I455" s="218"/>
      <c r="J455" s="218"/>
      <c r="K455" s="218"/>
      <c r="L455" s="218"/>
      <c r="M455" s="273"/>
    </row>
    <row r="456" spans="1:13" ht="24" x14ac:dyDescent="0.2">
      <c r="A456" s="231"/>
      <c r="B456" s="9"/>
      <c r="C456" s="7" t="s">
        <v>391</v>
      </c>
      <c r="D456" s="8"/>
      <c r="E456" s="218"/>
      <c r="F456" s="218"/>
      <c r="G456" s="218">
        <v>7.15</v>
      </c>
      <c r="H456" s="218"/>
      <c r="I456" s="218">
        <v>0.95</v>
      </c>
      <c r="J456" s="218">
        <f>G456*I456</f>
        <v>6.7925000000000004</v>
      </c>
      <c r="K456" s="218"/>
      <c r="L456" s="218"/>
      <c r="M456" s="273">
        <f>J456</f>
        <v>6.7925000000000004</v>
      </c>
    </row>
    <row r="457" spans="1:13" ht="24" x14ac:dyDescent="0.2">
      <c r="A457" s="231"/>
      <c r="B457" s="9"/>
      <c r="C457" s="7" t="s">
        <v>392</v>
      </c>
      <c r="D457" s="8"/>
      <c r="E457" s="218"/>
      <c r="F457" s="218"/>
      <c r="G457" s="218">
        <v>6.3</v>
      </c>
      <c r="H457" s="218"/>
      <c r="I457" s="218">
        <v>0.95</v>
      </c>
      <c r="J457" s="218">
        <f>G457*I457</f>
        <v>5.9849999999999994</v>
      </c>
      <c r="K457" s="218"/>
      <c r="L457" s="218"/>
      <c r="M457" s="273">
        <f>J457</f>
        <v>5.9849999999999994</v>
      </c>
    </row>
    <row r="458" spans="1:13" ht="24" x14ac:dyDescent="0.2">
      <c r="A458" s="231"/>
      <c r="B458" s="9"/>
      <c r="C458" s="7" t="s">
        <v>393</v>
      </c>
      <c r="D458" s="8"/>
      <c r="E458" s="218"/>
      <c r="F458" s="218"/>
      <c r="G458" s="218">
        <v>7.01</v>
      </c>
      <c r="H458" s="218"/>
      <c r="I458" s="218">
        <v>2.4</v>
      </c>
      <c r="J458" s="218">
        <f>G458*I458</f>
        <v>16.823999999999998</v>
      </c>
      <c r="K458" s="218"/>
      <c r="L458" s="218"/>
      <c r="M458" s="273">
        <f>J458</f>
        <v>16.823999999999998</v>
      </c>
    </row>
    <row r="459" spans="1:13" x14ac:dyDescent="0.2">
      <c r="A459" s="236"/>
      <c r="B459" s="344"/>
      <c r="C459" s="345"/>
      <c r="D459" s="346"/>
      <c r="E459" s="347"/>
      <c r="F459" s="347"/>
      <c r="G459" s="347"/>
      <c r="H459" s="347"/>
      <c r="I459" s="347"/>
      <c r="J459" s="347"/>
      <c r="K459" s="347"/>
      <c r="L459" s="347"/>
      <c r="M459" s="342"/>
    </row>
    <row r="460" spans="1:13" x14ac:dyDescent="0.2">
      <c r="A460" s="231"/>
      <c r="B460" s="9"/>
      <c r="C460" s="7" t="s">
        <v>179</v>
      </c>
      <c r="D460" s="8"/>
      <c r="E460" s="218"/>
      <c r="F460" s="218"/>
      <c r="G460" s="218"/>
      <c r="H460" s="218"/>
      <c r="I460" s="218"/>
      <c r="J460" s="218"/>
      <c r="K460" s="218"/>
      <c r="L460" s="218"/>
      <c r="M460" s="273"/>
    </row>
    <row r="461" spans="1:13" x14ac:dyDescent="0.2">
      <c r="A461" s="231"/>
      <c r="B461" s="9"/>
      <c r="C461" s="7" t="s">
        <v>164</v>
      </c>
      <c r="D461" s="8"/>
      <c r="E461" s="218">
        <v>2</v>
      </c>
      <c r="F461" s="218">
        <v>3.25</v>
      </c>
      <c r="G461" s="218"/>
      <c r="H461" s="218"/>
      <c r="I461" s="218">
        <v>1.3</v>
      </c>
      <c r="J461" s="218">
        <f>E461*I461*F461</f>
        <v>8.4500000000000011</v>
      </c>
      <c r="K461" s="218"/>
      <c r="L461" s="218"/>
      <c r="M461" s="273">
        <f>J461</f>
        <v>8.4500000000000011</v>
      </c>
    </row>
    <row r="462" spans="1:13" x14ac:dyDescent="0.2">
      <c r="A462" s="231"/>
      <c r="B462" s="9"/>
      <c r="C462" s="7"/>
      <c r="D462" s="8"/>
      <c r="E462" s="218">
        <v>4</v>
      </c>
      <c r="F462" s="218">
        <v>0.75</v>
      </c>
      <c r="G462" s="218"/>
      <c r="H462" s="218"/>
      <c r="I462" s="218">
        <v>1.3</v>
      </c>
      <c r="J462" s="218">
        <f>E462*I462*F462</f>
        <v>3.9000000000000004</v>
      </c>
      <c r="K462" s="218"/>
      <c r="L462" s="218"/>
      <c r="M462" s="273">
        <f>J462</f>
        <v>3.9000000000000004</v>
      </c>
    </row>
    <row r="463" spans="1:13" x14ac:dyDescent="0.2">
      <c r="A463" s="231"/>
      <c r="B463" s="9"/>
      <c r="C463" s="7"/>
      <c r="D463" s="8"/>
      <c r="E463" s="218"/>
      <c r="F463" s="218"/>
      <c r="G463" s="218"/>
      <c r="H463" s="218"/>
      <c r="I463" s="218"/>
      <c r="J463" s="218"/>
      <c r="K463" s="218"/>
      <c r="L463" s="218"/>
      <c r="M463" s="273"/>
    </row>
    <row r="464" spans="1:13" x14ac:dyDescent="0.2">
      <c r="A464" s="231"/>
      <c r="B464" s="9"/>
      <c r="C464" s="7" t="s">
        <v>163</v>
      </c>
      <c r="D464" s="8"/>
      <c r="E464" s="218"/>
      <c r="F464" s="218"/>
      <c r="G464" s="218"/>
      <c r="H464" s="218"/>
      <c r="I464" s="218"/>
      <c r="J464" s="218"/>
      <c r="K464" s="218"/>
      <c r="L464" s="218"/>
      <c r="M464" s="273"/>
    </row>
    <row r="465" spans="1:13" x14ac:dyDescent="0.2">
      <c r="A465" s="231"/>
      <c r="B465" s="9"/>
      <c r="C465" s="7"/>
      <c r="D465" s="8"/>
      <c r="E465" s="218">
        <v>4</v>
      </c>
      <c r="F465" s="218">
        <v>1.05</v>
      </c>
      <c r="G465" s="218"/>
      <c r="H465" s="218"/>
      <c r="I465" s="218">
        <v>1.3</v>
      </c>
      <c r="J465" s="218">
        <f>E465*I465*F465</f>
        <v>5.4600000000000009</v>
      </c>
      <c r="K465" s="218"/>
      <c r="L465" s="218"/>
      <c r="M465" s="273">
        <f>J465</f>
        <v>5.4600000000000009</v>
      </c>
    </row>
    <row r="466" spans="1:13" x14ac:dyDescent="0.2">
      <c r="A466" s="231"/>
      <c r="B466" s="9"/>
      <c r="C466" s="7"/>
      <c r="D466" s="8"/>
      <c r="E466" s="218"/>
      <c r="F466" s="218"/>
      <c r="G466" s="218"/>
      <c r="H466" s="218"/>
      <c r="I466" s="218"/>
      <c r="J466" s="218"/>
      <c r="K466" s="218"/>
      <c r="L466" s="218"/>
      <c r="M466" s="273"/>
    </row>
    <row r="467" spans="1:13" x14ac:dyDescent="0.2">
      <c r="A467" s="231"/>
      <c r="B467" s="9"/>
      <c r="C467" s="7" t="s">
        <v>203</v>
      </c>
      <c r="D467" s="8"/>
      <c r="E467" s="218"/>
      <c r="F467" s="218"/>
      <c r="G467" s="218"/>
      <c r="H467" s="218"/>
      <c r="I467" s="218"/>
      <c r="J467" s="218"/>
      <c r="K467" s="218"/>
      <c r="L467" s="218"/>
      <c r="M467" s="273"/>
    </row>
    <row r="468" spans="1:13" x14ac:dyDescent="0.2">
      <c r="A468" s="231"/>
      <c r="B468" s="9"/>
      <c r="C468" s="7"/>
      <c r="D468" s="8"/>
      <c r="E468" s="218">
        <v>2</v>
      </c>
      <c r="F468" s="218">
        <v>0.75</v>
      </c>
      <c r="G468" s="218"/>
      <c r="H468" s="218"/>
      <c r="I468" s="218">
        <v>1.3</v>
      </c>
      <c r="J468" s="218">
        <f>E468*I468*F468</f>
        <v>1.9500000000000002</v>
      </c>
      <c r="K468" s="218"/>
      <c r="L468" s="218"/>
      <c r="M468" s="273">
        <f>J468</f>
        <v>1.9500000000000002</v>
      </c>
    </row>
    <row r="469" spans="1:13" x14ac:dyDescent="0.2">
      <c r="A469" s="231"/>
      <c r="B469" s="9"/>
      <c r="C469" s="7"/>
      <c r="D469" s="8"/>
      <c r="E469" s="218"/>
      <c r="F469" s="218"/>
      <c r="G469" s="218"/>
      <c r="H469" s="218"/>
      <c r="I469" s="218"/>
      <c r="J469" s="218"/>
      <c r="K469" s="218"/>
      <c r="L469" s="218"/>
      <c r="M469" s="273"/>
    </row>
    <row r="470" spans="1:13" x14ac:dyDescent="0.2">
      <c r="A470" s="231"/>
      <c r="B470" s="9"/>
      <c r="C470" s="7" t="s">
        <v>152</v>
      </c>
      <c r="D470" s="8"/>
      <c r="E470" s="218"/>
      <c r="F470" s="218"/>
      <c r="G470" s="218"/>
      <c r="H470" s="218"/>
      <c r="I470" s="218"/>
      <c r="J470" s="218"/>
      <c r="K470" s="218"/>
      <c r="L470" s="218"/>
      <c r="M470" s="273"/>
    </row>
    <row r="471" spans="1:13" x14ac:dyDescent="0.2">
      <c r="A471" s="231"/>
      <c r="B471" s="9"/>
      <c r="C471" s="7" t="s">
        <v>218</v>
      </c>
      <c r="D471" s="8"/>
      <c r="E471" s="218">
        <v>2</v>
      </c>
      <c r="F471" s="218">
        <v>3.25</v>
      </c>
      <c r="G471" s="218"/>
      <c r="H471" s="218"/>
      <c r="I471" s="218">
        <v>1.6</v>
      </c>
      <c r="J471" s="218">
        <f>E471*I471*F471</f>
        <v>10.4</v>
      </c>
      <c r="K471" s="218"/>
      <c r="L471" s="218"/>
      <c r="M471" s="273">
        <f>J471</f>
        <v>10.4</v>
      </c>
    </row>
    <row r="472" spans="1:13" x14ac:dyDescent="0.2">
      <c r="A472" s="231"/>
      <c r="B472" s="9"/>
      <c r="C472" s="7"/>
      <c r="D472" s="8"/>
      <c r="E472" s="218">
        <v>4</v>
      </c>
      <c r="F472" s="218">
        <v>0.75</v>
      </c>
      <c r="G472" s="218"/>
      <c r="H472" s="218"/>
      <c r="I472" s="218">
        <v>1.6</v>
      </c>
      <c r="J472" s="218">
        <f>E472*I472*F472</f>
        <v>4.8000000000000007</v>
      </c>
      <c r="K472" s="218"/>
      <c r="L472" s="218"/>
      <c r="M472" s="273">
        <f>J472</f>
        <v>4.8000000000000007</v>
      </c>
    </row>
    <row r="473" spans="1:13" x14ac:dyDescent="0.2">
      <c r="A473" s="231"/>
      <c r="B473" s="9"/>
      <c r="C473" s="7"/>
      <c r="D473" s="17"/>
      <c r="E473" s="218"/>
      <c r="F473" s="218"/>
      <c r="G473" s="218"/>
      <c r="H473" s="218"/>
      <c r="I473" s="218"/>
      <c r="J473" s="218"/>
      <c r="K473" s="218"/>
      <c r="L473" s="218"/>
      <c r="M473" s="273"/>
    </row>
    <row r="474" spans="1:13" x14ac:dyDescent="0.2">
      <c r="A474" s="231"/>
      <c r="B474" s="9"/>
      <c r="C474" s="7" t="s">
        <v>394</v>
      </c>
      <c r="D474" s="17"/>
      <c r="E474" s="218"/>
      <c r="F474" s="218"/>
      <c r="G474" s="218"/>
      <c r="H474" s="218"/>
      <c r="I474" s="218"/>
      <c r="J474" s="218"/>
      <c r="K474" s="218"/>
      <c r="L474" s="218"/>
      <c r="M474" s="273"/>
    </row>
    <row r="475" spans="1:13" x14ac:dyDescent="0.2">
      <c r="A475" s="231"/>
      <c r="B475" s="9"/>
      <c r="C475" s="7" t="s">
        <v>395</v>
      </c>
      <c r="D475" s="17"/>
      <c r="E475" s="218">
        <v>2</v>
      </c>
      <c r="F475" s="218">
        <v>0.15</v>
      </c>
      <c r="G475" s="218"/>
      <c r="H475" s="218"/>
      <c r="I475" s="218">
        <v>1.25</v>
      </c>
      <c r="J475" s="218">
        <f>E475*I475*F475</f>
        <v>0.375</v>
      </c>
      <c r="K475" s="218"/>
      <c r="L475" s="218"/>
      <c r="M475" s="273">
        <f>J475</f>
        <v>0.375</v>
      </c>
    </row>
    <row r="476" spans="1:13" x14ac:dyDescent="0.2">
      <c r="A476" s="231"/>
      <c r="B476" s="9"/>
      <c r="C476" s="7" t="s">
        <v>403</v>
      </c>
      <c r="D476" s="17"/>
      <c r="E476" s="218"/>
      <c r="F476" s="218">
        <v>0.6</v>
      </c>
      <c r="G476" s="218"/>
      <c r="H476" s="218"/>
      <c r="I476" s="218">
        <v>0.55000000000000004</v>
      </c>
      <c r="J476" s="218">
        <f>F476*I476</f>
        <v>0.33</v>
      </c>
      <c r="K476" s="218"/>
      <c r="L476" s="218"/>
      <c r="M476" s="273">
        <f>J476</f>
        <v>0.33</v>
      </c>
    </row>
    <row r="477" spans="1:13" x14ac:dyDescent="0.2">
      <c r="A477" s="231"/>
      <c r="B477" s="9"/>
      <c r="C477" s="7" t="s">
        <v>404</v>
      </c>
      <c r="D477" s="17"/>
      <c r="E477" s="218"/>
      <c r="F477" s="218">
        <v>0.6</v>
      </c>
      <c r="G477" s="218"/>
      <c r="H477" s="218"/>
      <c r="I477" s="218">
        <v>2.1</v>
      </c>
      <c r="J477" s="218">
        <f>F477*I477</f>
        <v>1.26</v>
      </c>
      <c r="K477" s="218"/>
      <c r="L477" s="218"/>
      <c r="M477" s="273">
        <f>J477</f>
        <v>1.26</v>
      </c>
    </row>
    <row r="478" spans="1:13" x14ac:dyDescent="0.2">
      <c r="A478" s="231"/>
      <c r="B478" s="9"/>
      <c r="C478" s="7"/>
      <c r="D478" s="17"/>
      <c r="E478" s="218"/>
      <c r="F478" s="218"/>
      <c r="G478" s="218"/>
      <c r="H478" s="218"/>
      <c r="I478" s="218"/>
      <c r="J478" s="218"/>
      <c r="K478" s="218"/>
      <c r="L478" s="218"/>
      <c r="M478" s="273"/>
    </row>
    <row r="479" spans="1:13" x14ac:dyDescent="0.2">
      <c r="A479" s="231"/>
      <c r="B479" s="9"/>
      <c r="C479" s="7" t="s">
        <v>396</v>
      </c>
      <c r="D479" s="8"/>
      <c r="E479" s="218">
        <v>2</v>
      </c>
      <c r="F479" s="218">
        <v>1.05</v>
      </c>
      <c r="G479" s="218"/>
      <c r="H479" s="218"/>
      <c r="I479" s="218">
        <v>1.6</v>
      </c>
      <c r="J479" s="218">
        <f>E479*I479*F479</f>
        <v>3.3600000000000003</v>
      </c>
      <c r="K479" s="218"/>
      <c r="L479" s="218"/>
      <c r="M479" s="273">
        <f>J479</f>
        <v>3.3600000000000003</v>
      </c>
    </row>
    <row r="480" spans="1:13" x14ac:dyDescent="0.2">
      <c r="A480" s="231"/>
      <c r="B480" s="9"/>
      <c r="C480" s="7"/>
      <c r="D480" s="17"/>
      <c r="E480" s="218"/>
      <c r="F480" s="218"/>
      <c r="G480" s="218"/>
      <c r="H480" s="218"/>
      <c r="I480" s="218"/>
      <c r="J480" s="218"/>
      <c r="K480" s="218"/>
      <c r="L480" s="218"/>
      <c r="M480" s="273"/>
    </row>
    <row r="481" spans="1:13" x14ac:dyDescent="0.2">
      <c r="A481" s="231"/>
      <c r="B481" s="9"/>
      <c r="C481" s="7" t="s">
        <v>171</v>
      </c>
      <c r="D481" s="17"/>
      <c r="E481" s="218"/>
      <c r="F481" s="218"/>
      <c r="G481" s="218"/>
      <c r="H481" s="218"/>
      <c r="I481" s="218"/>
      <c r="J481" s="218"/>
      <c r="K481" s="218"/>
      <c r="L481" s="218"/>
      <c r="M481" s="273"/>
    </row>
    <row r="482" spans="1:13" x14ac:dyDescent="0.2">
      <c r="A482" s="231"/>
      <c r="B482" s="9"/>
      <c r="C482" s="7"/>
      <c r="D482" s="8"/>
      <c r="E482" s="218">
        <v>2</v>
      </c>
      <c r="F482" s="218">
        <v>1.05</v>
      </c>
      <c r="G482" s="218"/>
      <c r="H482" s="218"/>
      <c r="I482" s="218">
        <v>1.6</v>
      </c>
      <c r="J482" s="218">
        <f>E482*I482*F482</f>
        <v>3.3600000000000003</v>
      </c>
      <c r="K482" s="218"/>
      <c r="L482" s="218"/>
      <c r="M482" s="273">
        <f>J482</f>
        <v>3.3600000000000003</v>
      </c>
    </row>
    <row r="483" spans="1:13" x14ac:dyDescent="0.2">
      <c r="A483" s="231"/>
      <c r="B483" s="9"/>
      <c r="C483" s="7" t="s">
        <v>397</v>
      </c>
      <c r="D483" s="17"/>
      <c r="E483" s="218">
        <v>2</v>
      </c>
      <c r="F483" s="218">
        <v>0.8</v>
      </c>
      <c r="G483" s="218"/>
      <c r="H483" s="218"/>
      <c r="I483" s="218">
        <v>2.1</v>
      </c>
      <c r="J483" s="218">
        <f>E483*I483*F483</f>
        <v>3.3600000000000003</v>
      </c>
      <c r="K483" s="218"/>
      <c r="L483" s="218"/>
      <c r="M483" s="273">
        <f>J483</f>
        <v>3.3600000000000003</v>
      </c>
    </row>
    <row r="484" spans="1:13" x14ac:dyDescent="0.2">
      <c r="A484" s="231"/>
      <c r="B484" s="9"/>
      <c r="C484" s="7" t="s">
        <v>387</v>
      </c>
      <c r="D484" s="17"/>
      <c r="E484" s="218">
        <v>2</v>
      </c>
      <c r="F484" s="218">
        <v>0.15</v>
      </c>
      <c r="G484" s="218"/>
      <c r="H484" s="218"/>
      <c r="I484" s="218">
        <v>2.8</v>
      </c>
      <c r="J484" s="218">
        <f>E484*I484*F484</f>
        <v>0.84</v>
      </c>
      <c r="K484" s="218"/>
      <c r="L484" s="218"/>
      <c r="M484" s="273">
        <f>J484</f>
        <v>0.84</v>
      </c>
    </row>
    <row r="485" spans="1:13" x14ac:dyDescent="0.2">
      <c r="A485" s="231"/>
      <c r="B485" s="9"/>
      <c r="C485" s="7"/>
      <c r="D485" s="17"/>
      <c r="E485" s="218"/>
      <c r="F485" s="218"/>
      <c r="G485" s="218"/>
      <c r="H485" s="218"/>
      <c r="I485" s="218"/>
      <c r="J485" s="218"/>
      <c r="K485" s="218"/>
      <c r="L485" s="218"/>
      <c r="M485" s="273"/>
    </row>
    <row r="486" spans="1:13" x14ac:dyDescent="0.2">
      <c r="A486" s="231"/>
      <c r="B486" s="9"/>
      <c r="C486" s="7" t="s">
        <v>223</v>
      </c>
      <c r="D486" s="17"/>
      <c r="E486" s="218"/>
      <c r="F486" s="218"/>
      <c r="G486" s="218"/>
      <c r="H486" s="218"/>
      <c r="I486" s="218"/>
      <c r="J486" s="218"/>
      <c r="K486" s="218"/>
      <c r="L486" s="218"/>
      <c r="M486" s="273"/>
    </row>
    <row r="487" spans="1:13" x14ac:dyDescent="0.2">
      <c r="A487" s="231"/>
      <c r="B487" s="9"/>
      <c r="C487" s="7"/>
      <c r="D487" s="8"/>
      <c r="E487" s="218">
        <v>2</v>
      </c>
      <c r="F487" s="218">
        <v>0.75</v>
      </c>
      <c r="G487" s="218"/>
      <c r="H487" s="218"/>
      <c r="I487" s="218">
        <v>1.6</v>
      </c>
      <c r="J487" s="218">
        <f>E487*I487*F487</f>
        <v>2.4000000000000004</v>
      </c>
      <c r="K487" s="218"/>
      <c r="L487" s="218"/>
      <c r="M487" s="273">
        <f>J487</f>
        <v>2.4000000000000004</v>
      </c>
    </row>
    <row r="488" spans="1:13" x14ac:dyDescent="0.2">
      <c r="A488" s="231"/>
      <c r="B488" s="9"/>
      <c r="C488" s="7"/>
      <c r="D488" s="17"/>
      <c r="E488" s="218"/>
      <c r="F488" s="218"/>
      <c r="G488" s="218"/>
      <c r="H488" s="218"/>
      <c r="I488" s="218"/>
      <c r="J488" s="218"/>
      <c r="K488" s="218"/>
      <c r="L488" s="218"/>
      <c r="M488" s="273"/>
    </row>
    <row r="489" spans="1:13" x14ac:dyDescent="0.2">
      <c r="A489" s="231"/>
      <c r="B489" s="9"/>
      <c r="C489" s="7" t="s">
        <v>398</v>
      </c>
      <c r="D489" s="17"/>
      <c r="E489" s="218">
        <v>2</v>
      </c>
      <c r="F489" s="218">
        <v>1.2</v>
      </c>
      <c r="G489" s="218"/>
      <c r="H489" s="218"/>
      <c r="I489" s="218">
        <v>0.8</v>
      </c>
      <c r="J489" s="218">
        <f>E489*I489*F489</f>
        <v>1.92</v>
      </c>
      <c r="K489" s="218"/>
      <c r="L489" s="218"/>
      <c r="M489" s="273">
        <f>J489</f>
        <v>1.92</v>
      </c>
    </row>
    <row r="490" spans="1:13" x14ac:dyDescent="0.2">
      <c r="A490" s="231"/>
      <c r="B490" s="9"/>
      <c r="C490" s="7"/>
      <c r="D490" s="17"/>
      <c r="E490" s="218"/>
      <c r="F490" s="218"/>
      <c r="G490" s="218"/>
      <c r="H490" s="218"/>
      <c r="I490" s="218"/>
      <c r="J490" s="218"/>
      <c r="K490" s="218"/>
      <c r="L490" s="218"/>
      <c r="M490" s="273"/>
    </row>
    <row r="491" spans="1:13" x14ac:dyDescent="0.2">
      <c r="A491" s="231"/>
      <c r="B491" s="9"/>
      <c r="C491" s="7" t="s">
        <v>399</v>
      </c>
      <c r="D491" s="17"/>
      <c r="E491" s="218"/>
      <c r="F491" s="218"/>
      <c r="G491" s="218"/>
      <c r="H491" s="218"/>
      <c r="I491" s="218"/>
      <c r="J491" s="218"/>
      <c r="K491" s="218"/>
      <c r="L491" s="218"/>
      <c r="M491" s="273"/>
    </row>
    <row r="492" spans="1:13" x14ac:dyDescent="0.2">
      <c r="A492" s="231"/>
      <c r="B492" s="9"/>
      <c r="C492" s="7" t="s">
        <v>401</v>
      </c>
      <c r="D492" s="17"/>
      <c r="E492" s="218"/>
      <c r="F492" s="218"/>
      <c r="G492" s="218">
        <v>9.1999999999999993</v>
      </c>
      <c r="H492" s="218"/>
      <c r="I492" s="218">
        <v>1.4</v>
      </c>
      <c r="J492" s="218">
        <f>I492*G492</f>
        <v>12.879999999999999</v>
      </c>
      <c r="K492" s="218"/>
      <c r="L492" s="218"/>
      <c r="M492" s="273">
        <f>J492</f>
        <v>12.879999999999999</v>
      </c>
    </row>
    <row r="493" spans="1:13" x14ac:dyDescent="0.2">
      <c r="A493" s="231"/>
      <c r="B493" s="9"/>
      <c r="C493" s="7"/>
      <c r="D493" s="17"/>
      <c r="E493" s="218"/>
      <c r="F493" s="218"/>
      <c r="G493" s="218"/>
      <c r="H493" s="218"/>
      <c r="I493" s="218"/>
      <c r="J493" s="218"/>
      <c r="K493" s="218"/>
      <c r="L493" s="218"/>
      <c r="M493" s="273"/>
    </row>
    <row r="494" spans="1:13" x14ac:dyDescent="0.2">
      <c r="A494" s="231"/>
      <c r="B494" s="9"/>
      <c r="C494" s="7" t="s">
        <v>400</v>
      </c>
      <c r="D494" s="17"/>
      <c r="E494" s="218"/>
      <c r="F494" s="218"/>
      <c r="G494" s="218"/>
      <c r="H494" s="218"/>
      <c r="I494" s="218"/>
      <c r="J494" s="218"/>
      <c r="K494" s="218"/>
      <c r="L494" s="218"/>
      <c r="M494" s="273"/>
    </row>
    <row r="495" spans="1:13" x14ac:dyDescent="0.2">
      <c r="A495" s="231"/>
      <c r="B495" s="9"/>
      <c r="C495" s="7" t="s">
        <v>401</v>
      </c>
      <c r="D495" s="17"/>
      <c r="E495" s="218"/>
      <c r="F495" s="218"/>
      <c r="G495" s="218">
        <v>9.1999999999999993</v>
      </c>
      <c r="H495" s="218"/>
      <c r="I495" s="218">
        <v>1.4</v>
      </c>
      <c r="J495" s="218">
        <f>I495*G495</f>
        <v>12.879999999999999</v>
      </c>
      <c r="K495" s="218"/>
      <c r="L495" s="218"/>
      <c r="M495" s="273">
        <f>J495</f>
        <v>12.879999999999999</v>
      </c>
    </row>
    <row r="496" spans="1:13" x14ac:dyDescent="0.2">
      <c r="A496" s="231"/>
      <c r="B496" s="9"/>
      <c r="C496" s="7"/>
      <c r="D496" s="17"/>
      <c r="E496" s="218"/>
      <c r="F496" s="218"/>
      <c r="G496" s="218"/>
      <c r="H496" s="218"/>
      <c r="I496" s="218"/>
      <c r="J496" s="218"/>
      <c r="K496" s="218"/>
      <c r="L496" s="218"/>
      <c r="M496" s="273"/>
    </row>
    <row r="497" spans="1:13" x14ac:dyDescent="0.2">
      <c r="A497" s="231"/>
      <c r="B497" s="9"/>
      <c r="C497" s="7" t="s">
        <v>209</v>
      </c>
      <c r="D497" s="17"/>
      <c r="E497" s="218"/>
      <c r="F497" s="218"/>
      <c r="G497" s="218"/>
      <c r="H497" s="218"/>
      <c r="I497" s="218"/>
      <c r="J497" s="218"/>
      <c r="K497" s="218"/>
      <c r="L497" s="218"/>
      <c r="M497" s="273"/>
    </row>
    <row r="498" spans="1:13" x14ac:dyDescent="0.2">
      <c r="A498" s="231"/>
      <c r="B498" s="9"/>
      <c r="C498" s="7"/>
      <c r="D498" s="8"/>
      <c r="E498" s="218">
        <v>2</v>
      </c>
      <c r="F498" s="218">
        <v>1.05</v>
      </c>
      <c r="G498" s="218"/>
      <c r="H498" s="218"/>
      <c r="I498" s="218">
        <v>1.6</v>
      </c>
      <c r="J498" s="218">
        <f>E498*I498*F498</f>
        <v>3.3600000000000003</v>
      </c>
      <c r="K498" s="218"/>
      <c r="L498" s="218"/>
      <c r="M498" s="273">
        <f>J498</f>
        <v>3.3600000000000003</v>
      </c>
    </row>
    <row r="499" spans="1:13" x14ac:dyDescent="0.2">
      <c r="A499" s="231"/>
      <c r="B499" s="9"/>
      <c r="C499" s="7"/>
      <c r="D499" s="17"/>
      <c r="E499" s="218"/>
      <c r="F499" s="218"/>
      <c r="G499" s="218"/>
      <c r="H499" s="218"/>
      <c r="I499" s="218"/>
      <c r="J499" s="218"/>
      <c r="K499" s="218"/>
      <c r="L499" s="218"/>
      <c r="M499" s="277"/>
    </row>
    <row r="500" spans="1:13" ht="96" x14ac:dyDescent="0.2">
      <c r="A500" s="238" t="s">
        <v>92</v>
      </c>
      <c r="B500" s="131" t="s">
        <v>352</v>
      </c>
      <c r="C500" s="132" t="s">
        <v>284</v>
      </c>
      <c r="D500" s="133" t="s">
        <v>17</v>
      </c>
      <c r="E500" s="142"/>
      <c r="F500" s="142"/>
      <c r="G500" s="142"/>
      <c r="H500" s="142"/>
      <c r="I500" s="142"/>
      <c r="J500" s="142"/>
      <c r="K500" s="142"/>
      <c r="L500" s="142"/>
      <c r="M500" s="283">
        <f>SUM(M502:M529)</f>
        <v>11.420000000000005</v>
      </c>
    </row>
    <row r="501" spans="1:13" x14ac:dyDescent="0.2">
      <c r="A501" s="231"/>
      <c r="B501" s="9"/>
      <c r="C501" s="7" t="s">
        <v>151</v>
      </c>
      <c r="D501" s="8"/>
      <c r="E501" s="218"/>
      <c r="F501" s="218"/>
      <c r="G501" s="218"/>
      <c r="H501" s="218"/>
      <c r="I501" s="218"/>
      <c r="J501" s="218"/>
      <c r="K501" s="218"/>
      <c r="L501" s="218"/>
      <c r="M501" s="273"/>
    </row>
    <row r="502" spans="1:13" x14ac:dyDescent="0.2">
      <c r="A502" s="231"/>
      <c r="B502" s="9"/>
      <c r="C502" s="7" t="s">
        <v>249</v>
      </c>
      <c r="D502" s="8"/>
      <c r="E502" s="218"/>
      <c r="F502" s="218">
        <v>1.35</v>
      </c>
      <c r="G502" s="218"/>
      <c r="H502" s="218"/>
      <c r="I502" s="218">
        <v>1.6</v>
      </c>
      <c r="J502" s="218">
        <f>F502*I502</f>
        <v>2.16</v>
      </c>
      <c r="K502" s="218"/>
      <c r="L502" s="218"/>
      <c r="M502" s="273">
        <f>J502</f>
        <v>2.16</v>
      </c>
    </row>
    <row r="503" spans="1:13" x14ac:dyDescent="0.2">
      <c r="A503" s="231"/>
      <c r="B503" s="9"/>
      <c r="C503" s="7"/>
      <c r="D503" s="8"/>
      <c r="E503" s="218"/>
      <c r="F503" s="218"/>
      <c r="G503" s="218"/>
      <c r="H503" s="218"/>
      <c r="I503" s="218"/>
      <c r="J503" s="218"/>
      <c r="K503" s="218"/>
      <c r="L503" s="218"/>
      <c r="M503" s="273"/>
    </row>
    <row r="504" spans="1:13" x14ac:dyDescent="0.2">
      <c r="A504" s="231"/>
      <c r="B504" s="9"/>
      <c r="C504" s="7" t="s">
        <v>405</v>
      </c>
      <c r="D504" s="8"/>
      <c r="E504" s="218"/>
      <c r="F504" s="218">
        <v>0.8</v>
      </c>
      <c r="G504" s="218"/>
      <c r="H504" s="218"/>
      <c r="I504" s="218">
        <v>2.1</v>
      </c>
      <c r="J504" s="218">
        <f>F504*I504</f>
        <v>1.6800000000000002</v>
      </c>
      <c r="K504" s="218"/>
      <c r="L504" s="218"/>
      <c r="M504" s="273">
        <f t="shared" ref="M504:M527" si="3">J504</f>
        <v>1.6800000000000002</v>
      </c>
    </row>
    <row r="505" spans="1:13" x14ac:dyDescent="0.2">
      <c r="A505" s="231"/>
      <c r="B505" s="9"/>
      <c r="C505" s="7"/>
      <c r="D505" s="8"/>
      <c r="E505" s="218"/>
      <c r="F505" s="218"/>
      <c r="G505" s="218"/>
      <c r="H505" s="218"/>
      <c r="I505" s="218"/>
      <c r="J505" s="218"/>
      <c r="K505" s="218"/>
      <c r="L505" s="218"/>
      <c r="M505" s="273"/>
    </row>
    <row r="506" spans="1:13" x14ac:dyDescent="0.2">
      <c r="A506" s="231"/>
      <c r="B506" s="9"/>
      <c r="C506" s="7" t="s">
        <v>251</v>
      </c>
      <c r="D506" s="8"/>
      <c r="E506" s="218">
        <v>2</v>
      </c>
      <c r="F506" s="218">
        <v>0.4</v>
      </c>
      <c r="G506" s="218"/>
      <c r="H506" s="218"/>
      <c r="I506" s="218">
        <v>1.6</v>
      </c>
      <c r="J506" s="218">
        <f>E506*I506*F506</f>
        <v>1.2800000000000002</v>
      </c>
      <c r="K506" s="218"/>
      <c r="L506" s="218"/>
      <c r="M506" s="273">
        <f t="shared" si="3"/>
        <v>1.2800000000000002</v>
      </c>
    </row>
    <row r="507" spans="1:13" x14ac:dyDescent="0.2">
      <c r="A507" s="231"/>
      <c r="B507" s="9"/>
      <c r="C507" s="7"/>
      <c r="D507" s="8"/>
      <c r="E507" s="218"/>
      <c r="F507" s="218"/>
      <c r="G507" s="218"/>
      <c r="H507" s="218"/>
      <c r="I507" s="218"/>
      <c r="J507" s="218"/>
      <c r="K507" s="218"/>
      <c r="L507" s="218"/>
      <c r="M507" s="273"/>
    </row>
    <row r="508" spans="1:13" x14ac:dyDescent="0.2">
      <c r="A508" s="231"/>
      <c r="B508" s="9"/>
      <c r="C508" s="7" t="s">
        <v>252</v>
      </c>
      <c r="D508" s="8"/>
      <c r="E508" s="218"/>
      <c r="F508" s="218">
        <v>0.2</v>
      </c>
      <c r="G508" s="218"/>
      <c r="H508" s="218"/>
      <c r="I508" s="218">
        <v>1.6</v>
      </c>
      <c r="J508" s="218">
        <f>F508*I508</f>
        <v>0.32000000000000006</v>
      </c>
      <c r="K508" s="218"/>
      <c r="L508" s="218"/>
      <c r="M508" s="273">
        <f t="shared" si="3"/>
        <v>0.32000000000000006</v>
      </c>
    </row>
    <row r="509" spans="1:13" x14ac:dyDescent="0.2">
      <c r="A509" s="231"/>
      <c r="B509" s="9"/>
      <c r="C509" s="7"/>
      <c r="D509" s="8"/>
      <c r="E509" s="218"/>
      <c r="F509" s="218"/>
      <c r="G509" s="218"/>
      <c r="H509" s="218"/>
      <c r="I509" s="218"/>
      <c r="J509" s="218"/>
      <c r="K509" s="218"/>
      <c r="L509" s="218"/>
      <c r="M509" s="273"/>
    </row>
    <row r="510" spans="1:13" x14ac:dyDescent="0.2">
      <c r="A510" s="231"/>
      <c r="B510" s="9"/>
      <c r="C510" s="7" t="s">
        <v>179</v>
      </c>
      <c r="D510" s="8"/>
      <c r="E510" s="218"/>
      <c r="F510" s="218"/>
      <c r="G510" s="218"/>
      <c r="H510" s="218"/>
      <c r="I510" s="218"/>
      <c r="J510" s="218"/>
      <c r="K510" s="218"/>
      <c r="L510" s="218"/>
      <c r="M510" s="273"/>
    </row>
    <row r="511" spans="1:13" x14ac:dyDescent="0.2">
      <c r="A511" s="231"/>
      <c r="B511" s="9"/>
      <c r="C511" s="7" t="s">
        <v>254</v>
      </c>
      <c r="D511" s="8"/>
      <c r="E511" s="218"/>
      <c r="F511" s="218">
        <v>0.8</v>
      </c>
      <c r="G511" s="218"/>
      <c r="H511" s="218"/>
      <c r="I511" s="218">
        <v>1.3</v>
      </c>
      <c r="J511" s="218">
        <f>F511*I511</f>
        <v>1.04</v>
      </c>
      <c r="K511" s="218"/>
      <c r="L511" s="218"/>
      <c r="M511" s="273">
        <f t="shared" si="3"/>
        <v>1.04</v>
      </c>
    </row>
    <row r="512" spans="1:13" x14ac:dyDescent="0.2">
      <c r="A512" s="231"/>
      <c r="B512" s="9"/>
      <c r="C512" s="7"/>
      <c r="D512" s="8"/>
      <c r="E512" s="218">
        <v>2</v>
      </c>
      <c r="F512" s="218">
        <v>0.2</v>
      </c>
      <c r="G512" s="218"/>
      <c r="H512" s="218"/>
      <c r="I512" s="218">
        <v>1.3</v>
      </c>
      <c r="J512" s="218">
        <f>E512*I512*F512</f>
        <v>0.52</v>
      </c>
      <c r="K512" s="218"/>
      <c r="L512" s="218"/>
      <c r="M512" s="273">
        <f t="shared" si="3"/>
        <v>0.52</v>
      </c>
    </row>
    <row r="513" spans="1:13" x14ac:dyDescent="0.2">
      <c r="A513" s="231"/>
      <c r="B513" s="9"/>
      <c r="C513" s="7"/>
      <c r="D513" s="8"/>
      <c r="E513" s="218"/>
      <c r="F513" s="218"/>
      <c r="G513" s="218"/>
      <c r="H513" s="218"/>
      <c r="I513" s="218"/>
      <c r="J513" s="218"/>
      <c r="K513" s="218"/>
      <c r="L513" s="218"/>
      <c r="M513" s="273"/>
    </row>
    <row r="514" spans="1:13" x14ac:dyDescent="0.2">
      <c r="A514" s="231"/>
      <c r="B514" s="9"/>
      <c r="C514" s="7" t="s">
        <v>255</v>
      </c>
      <c r="D514" s="8"/>
      <c r="E514" s="218">
        <v>2</v>
      </c>
      <c r="F514" s="218">
        <v>0.4</v>
      </c>
      <c r="G514" s="218"/>
      <c r="H514" s="218"/>
      <c r="I514" s="218">
        <v>1.3</v>
      </c>
      <c r="J514" s="218"/>
      <c r="K514" s="218"/>
      <c r="L514" s="218"/>
      <c r="M514" s="273"/>
    </row>
    <row r="515" spans="1:13" x14ac:dyDescent="0.2">
      <c r="A515" s="231"/>
      <c r="B515" s="9"/>
      <c r="C515" s="7"/>
      <c r="D515" s="8"/>
      <c r="E515" s="218"/>
      <c r="F515" s="218"/>
      <c r="G515" s="218"/>
      <c r="H515" s="218"/>
      <c r="I515" s="218"/>
      <c r="J515" s="218"/>
      <c r="K515" s="218"/>
      <c r="L515" s="218"/>
      <c r="M515" s="273"/>
    </row>
    <row r="516" spans="1:13" x14ac:dyDescent="0.2">
      <c r="A516" s="231"/>
      <c r="B516" s="9"/>
      <c r="C516" s="7" t="s">
        <v>256</v>
      </c>
      <c r="D516" s="8"/>
      <c r="E516" s="218"/>
      <c r="F516" s="218">
        <v>0.2</v>
      </c>
      <c r="G516" s="218"/>
      <c r="H516" s="218"/>
      <c r="I516" s="218">
        <v>1.3</v>
      </c>
      <c r="J516" s="218">
        <f>F516*I516</f>
        <v>0.26</v>
      </c>
      <c r="K516" s="218"/>
      <c r="L516" s="218"/>
      <c r="M516" s="273">
        <f t="shared" si="3"/>
        <v>0.26</v>
      </c>
    </row>
    <row r="517" spans="1:13" x14ac:dyDescent="0.2">
      <c r="A517" s="231"/>
      <c r="B517" s="9"/>
      <c r="C517" s="7"/>
      <c r="D517" s="8"/>
      <c r="E517" s="218"/>
      <c r="F517" s="218"/>
      <c r="G517" s="218"/>
      <c r="H517" s="218"/>
      <c r="I517" s="218"/>
      <c r="J517" s="218"/>
      <c r="K517" s="218"/>
      <c r="L517" s="218"/>
      <c r="M517" s="273"/>
    </row>
    <row r="518" spans="1:13" x14ac:dyDescent="0.2">
      <c r="A518" s="231"/>
      <c r="B518" s="9"/>
      <c r="C518" s="7" t="s">
        <v>152</v>
      </c>
      <c r="D518" s="8"/>
      <c r="E518" s="218"/>
      <c r="F518" s="218"/>
      <c r="G518" s="218"/>
      <c r="H518" s="218"/>
      <c r="I518" s="218"/>
      <c r="J518" s="218"/>
      <c r="K518" s="218"/>
      <c r="L518" s="218"/>
      <c r="M518" s="273"/>
    </row>
    <row r="519" spans="1:13" x14ac:dyDescent="0.2">
      <c r="A519" s="231"/>
      <c r="B519" s="9"/>
      <c r="C519" s="7" t="s">
        <v>257</v>
      </c>
      <c r="D519" s="8"/>
      <c r="E519" s="218"/>
      <c r="F519" s="218">
        <v>0.8</v>
      </c>
      <c r="G519" s="218"/>
      <c r="H519" s="218"/>
      <c r="I519" s="218">
        <v>1.6</v>
      </c>
      <c r="J519" s="218">
        <f>F519*I519</f>
        <v>1.2800000000000002</v>
      </c>
      <c r="K519" s="218"/>
      <c r="L519" s="218"/>
      <c r="M519" s="273">
        <f t="shared" si="3"/>
        <v>1.2800000000000002</v>
      </c>
    </row>
    <row r="520" spans="1:13" x14ac:dyDescent="0.2">
      <c r="A520" s="231"/>
      <c r="B520" s="9"/>
      <c r="C520" s="7"/>
      <c r="D520" s="8"/>
      <c r="E520" s="218">
        <v>2</v>
      </c>
      <c r="F520" s="218">
        <v>0.2</v>
      </c>
      <c r="G520" s="218"/>
      <c r="H520" s="218"/>
      <c r="I520" s="218">
        <v>1.6</v>
      </c>
      <c r="J520" s="218">
        <f>E520*I520*F520</f>
        <v>0.64000000000000012</v>
      </c>
      <c r="K520" s="218"/>
      <c r="L520" s="218"/>
      <c r="M520" s="273">
        <f t="shared" si="3"/>
        <v>0.64000000000000012</v>
      </c>
    </row>
    <row r="521" spans="1:13" x14ac:dyDescent="0.2">
      <c r="A521" s="231"/>
      <c r="B521" s="9"/>
      <c r="C521" s="7"/>
      <c r="D521" s="8"/>
      <c r="E521" s="218"/>
      <c r="F521" s="218"/>
      <c r="G521" s="218"/>
      <c r="H521" s="218"/>
      <c r="I521" s="218"/>
      <c r="J521" s="218"/>
      <c r="K521" s="218"/>
      <c r="L521" s="218"/>
      <c r="M521" s="273"/>
    </row>
    <row r="522" spans="1:13" x14ac:dyDescent="0.2">
      <c r="A522" s="231"/>
      <c r="B522" s="9"/>
      <c r="C522" s="7" t="s">
        <v>258</v>
      </c>
      <c r="D522" s="8"/>
      <c r="E522" s="218"/>
      <c r="F522" s="218">
        <v>0.4</v>
      </c>
      <c r="G522" s="218"/>
      <c r="H522" s="218"/>
      <c r="I522" s="218">
        <v>1.6</v>
      </c>
      <c r="J522" s="218">
        <f>F522*I522</f>
        <v>0.64000000000000012</v>
      </c>
      <c r="K522" s="218"/>
      <c r="L522" s="218"/>
      <c r="M522" s="273">
        <f t="shared" si="3"/>
        <v>0.64000000000000012</v>
      </c>
    </row>
    <row r="523" spans="1:13" x14ac:dyDescent="0.2">
      <c r="A523" s="231"/>
      <c r="B523" s="9"/>
      <c r="C523" s="7" t="s">
        <v>259</v>
      </c>
      <c r="D523" s="8"/>
      <c r="E523" s="218"/>
      <c r="F523" s="218">
        <v>0.4</v>
      </c>
      <c r="G523" s="218"/>
      <c r="H523" s="218"/>
      <c r="I523" s="218">
        <v>1.6</v>
      </c>
      <c r="J523" s="218">
        <f>F523*I523</f>
        <v>0.64000000000000012</v>
      </c>
      <c r="K523" s="218"/>
      <c r="L523" s="218"/>
      <c r="M523" s="273">
        <f t="shared" si="3"/>
        <v>0.64000000000000012</v>
      </c>
    </row>
    <row r="524" spans="1:13" x14ac:dyDescent="0.2">
      <c r="A524" s="231"/>
      <c r="B524" s="9"/>
      <c r="C524" s="7"/>
      <c r="D524" s="8"/>
      <c r="E524" s="218"/>
      <c r="F524" s="218"/>
      <c r="G524" s="218"/>
      <c r="H524" s="218"/>
      <c r="I524" s="218"/>
      <c r="J524" s="218"/>
      <c r="K524" s="218"/>
      <c r="L524" s="218"/>
      <c r="M524" s="273"/>
    </row>
    <row r="525" spans="1:13" x14ac:dyDescent="0.2">
      <c r="A525" s="231"/>
      <c r="B525" s="9"/>
      <c r="C525" s="7" t="s">
        <v>262</v>
      </c>
      <c r="D525" s="8"/>
      <c r="E525" s="218"/>
      <c r="F525" s="218">
        <v>0.2</v>
      </c>
      <c r="G525" s="218"/>
      <c r="H525" s="218"/>
      <c r="I525" s="218">
        <v>1.6</v>
      </c>
      <c r="J525" s="218">
        <f>F525*I525</f>
        <v>0.32000000000000006</v>
      </c>
      <c r="K525" s="218"/>
      <c r="L525" s="218"/>
      <c r="M525" s="273">
        <f t="shared" si="3"/>
        <v>0.32000000000000006</v>
      </c>
    </row>
    <row r="526" spans="1:13" x14ac:dyDescent="0.2">
      <c r="A526" s="231"/>
      <c r="B526" s="9"/>
      <c r="C526" s="7"/>
      <c r="D526" s="8"/>
      <c r="E526" s="218"/>
      <c r="F526" s="218"/>
      <c r="G526" s="218"/>
      <c r="H526" s="218"/>
      <c r="I526" s="218"/>
      <c r="J526" s="218"/>
      <c r="K526" s="218"/>
      <c r="L526" s="218"/>
      <c r="M526" s="273"/>
    </row>
    <row r="527" spans="1:13" x14ac:dyDescent="0.2">
      <c r="A527" s="231"/>
      <c r="B527" s="9"/>
      <c r="C527" s="7" t="s">
        <v>264</v>
      </c>
      <c r="D527" s="8"/>
      <c r="E527" s="218"/>
      <c r="F527" s="218">
        <v>0.4</v>
      </c>
      <c r="G527" s="218"/>
      <c r="H527" s="218"/>
      <c r="I527" s="218">
        <v>1.6</v>
      </c>
      <c r="J527" s="218">
        <f>F527*I527</f>
        <v>0.64000000000000012</v>
      </c>
      <c r="K527" s="218"/>
      <c r="L527" s="218"/>
      <c r="M527" s="273">
        <f t="shared" si="3"/>
        <v>0.64000000000000012</v>
      </c>
    </row>
    <row r="528" spans="1:13" x14ac:dyDescent="0.2">
      <c r="A528" s="231"/>
      <c r="B528" s="9"/>
      <c r="C528" s="7"/>
      <c r="D528" s="8"/>
      <c r="E528" s="218"/>
      <c r="F528" s="218"/>
      <c r="G528" s="218"/>
      <c r="H528" s="218"/>
      <c r="I528" s="218"/>
      <c r="J528" s="218"/>
      <c r="K528" s="218"/>
      <c r="L528" s="218"/>
      <c r="M528" s="273"/>
    </row>
    <row r="529" spans="1:13" x14ac:dyDescent="0.2">
      <c r="A529" s="231"/>
      <c r="B529" s="9"/>
      <c r="C529" s="7"/>
      <c r="D529" s="8"/>
      <c r="E529" s="218"/>
      <c r="F529" s="218"/>
      <c r="G529" s="218"/>
      <c r="H529" s="218"/>
      <c r="I529" s="218"/>
      <c r="J529" s="218"/>
      <c r="K529" s="218"/>
      <c r="L529" s="218"/>
      <c r="M529" s="273"/>
    </row>
    <row r="530" spans="1:13" x14ac:dyDescent="0.2">
      <c r="A530" s="236"/>
      <c r="B530" s="344"/>
      <c r="C530" s="345"/>
      <c r="D530" s="346"/>
      <c r="E530" s="347"/>
      <c r="F530" s="347"/>
      <c r="G530" s="347"/>
      <c r="H530" s="347"/>
      <c r="I530" s="347"/>
      <c r="J530" s="347"/>
      <c r="K530" s="347"/>
      <c r="L530" s="347"/>
      <c r="M530" s="342"/>
    </row>
    <row r="531" spans="1:13" ht="48" x14ac:dyDescent="0.2">
      <c r="A531" s="231" t="s">
        <v>652</v>
      </c>
      <c r="B531" s="9" t="s">
        <v>353</v>
      </c>
      <c r="C531" s="7" t="s">
        <v>653</v>
      </c>
      <c r="D531" s="17" t="s">
        <v>17</v>
      </c>
      <c r="E531" s="218"/>
      <c r="F531" s="218"/>
      <c r="G531" s="218"/>
      <c r="H531" s="218"/>
      <c r="I531" s="218"/>
      <c r="J531" s="218"/>
      <c r="K531" s="218"/>
      <c r="L531" s="218"/>
      <c r="M531" s="284">
        <f>SUM(M532:M568)</f>
        <v>23.82</v>
      </c>
    </row>
    <row r="532" spans="1:13" x14ac:dyDescent="0.2">
      <c r="A532" s="231"/>
      <c r="B532" s="9"/>
      <c r="C532" s="7" t="s">
        <v>151</v>
      </c>
      <c r="D532" s="17"/>
      <c r="E532" s="218"/>
      <c r="F532" s="218"/>
      <c r="G532" s="218"/>
      <c r="H532" s="218"/>
      <c r="I532" s="218"/>
      <c r="J532" s="218"/>
      <c r="K532" s="218"/>
      <c r="L532" s="218"/>
      <c r="M532" s="273"/>
    </row>
    <row r="533" spans="1:13" x14ac:dyDescent="0.2">
      <c r="A533" s="231"/>
      <c r="B533" s="9"/>
      <c r="C533" s="7" t="s">
        <v>654</v>
      </c>
      <c r="D533" s="8"/>
      <c r="E533" s="218"/>
      <c r="F533" s="218"/>
      <c r="G533" s="218"/>
      <c r="H533" s="218"/>
      <c r="I533" s="218"/>
      <c r="J533" s="218"/>
      <c r="K533" s="218"/>
      <c r="L533" s="218"/>
      <c r="M533" s="273"/>
    </row>
    <row r="534" spans="1:13" x14ac:dyDescent="0.2">
      <c r="A534" s="231"/>
      <c r="B534" s="9"/>
      <c r="C534" s="7" t="s">
        <v>655</v>
      </c>
      <c r="D534" s="8"/>
      <c r="E534" s="218"/>
      <c r="F534" s="218">
        <v>6</v>
      </c>
      <c r="G534" s="218"/>
      <c r="H534" s="218"/>
      <c r="I534" s="218">
        <v>0.15</v>
      </c>
      <c r="J534" s="218">
        <f>F534*I534</f>
        <v>0.89999999999999991</v>
      </c>
      <c r="K534" s="218"/>
      <c r="L534" s="218"/>
      <c r="M534" s="273">
        <f>J534</f>
        <v>0.89999999999999991</v>
      </c>
    </row>
    <row r="535" spans="1:13" x14ac:dyDescent="0.2">
      <c r="A535" s="231"/>
      <c r="B535" s="9"/>
      <c r="C535" s="7"/>
      <c r="D535" s="17"/>
      <c r="E535" s="218"/>
      <c r="F535" s="218"/>
      <c r="G535" s="218"/>
      <c r="H535" s="218"/>
      <c r="I535" s="218"/>
      <c r="J535" s="218"/>
      <c r="K535" s="218"/>
      <c r="L535" s="218"/>
      <c r="M535" s="273"/>
    </row>
    <row r="536" spans="1:13" x14ac:dyDescent="0.2">
      <c r="A536" s="231"/>
      <c r="B536" s="9"/>
      <c r="C536" s="7" t="s">
        <v>407</v>
      </c>
      <c r="D536" s="8"/>
      <c r="E536" s="218"/>
      <c r="F536" s="218"/>
      <c r="G536" s="218"/>
      <c r="H536" s="218"/>
      <c r="I536" s="218"/>
      <c r="J536" s="218"/>
      <c r="K536" s="218"/>
      <c r="L536" s="218"/>
      <c r="M536" s="273"/>
    </row>
    <row r="537" spans="1:13" x14ac:dyDescent="0.2">
      <c r="A537" s="231"/>
      <c r="B537" s="9"/>
      <c r="C537" s="7" t="s">
        <v>406</v>
      </c>
      <c r="D537" s="8"/>
      <c r="E537" s="218"/>
      <c r="F537" s="218">
        <v>13.8</v>
      </c>
      <c r="G537" s="218"/>
      <c r="H537" s="218"/>
      <c r="I537" s="218">
        <v>0.15</v>
      </c>
      <c r="J537" s="218">
        <v>2.0699999999999998</v>
      </c>
      <c r="K537" s="218"/>
      <c r="L537" s="218"/>
      <c r="M537" s="273">
        <v>2.0699999999999998</v>
      </c>
    </row>
    <row r="538" spans="1:13" x14ac:dyDescent="0.2">
      <c r="A538" s="231"/>
      <c r="B538" s="9"/>
      <c r="C538" s="7"/>
      <c r="D538" s="8"/>
      <c r="E538" s="218"/>
      <c r="F538" s="218"/>
      <c r="G538" s="218"/>
      <c r="H538" s="218"/>
      <c r="I538" s="218"/>
      <c r="J538" s="218"/>
      <c r="K538" s="218"/>
      <c r="L538" s="218"/>
      <c r="M538" s="273"/>
    </row>
    <row r="539" spans="1:13" x14ac:dyDescent="0.2">
      <c r="A539" s="231"/>
      <c r="B539" s="9"/>
      <c r="C539" s="7" t="s">
        <v>408</v>
      </c>
      <c r="D539" s="8"/>
      <c r="E539" s="218"/>
      <c r="F539" s="218"/>
      <c r="G539" s="218"/>
      <c r="H539" s="218"/>
      <c r="I539" s="218"/>
      <c r="J539" s="218"/>
      <c r="K539" s="218"/>
      <c r="L539" s="218"/>
      <c r="M539" s="273"/>
    </row>
    <row r="540" spans="1:13" x14ac:dyDescent="0.2">
      <c r="A540" s="231"/>
      <c r="B540" s="9"/>
      <c r="C540" s="7" t="s">
        <v>409</v>
      </c>
      <c r="D540" s="8"/>
      <c r="E540" s="218"/>
      <c r="F540" s="218">
        <v>15</v>
      </c>
      <c r="G540" s="218"/>
      <c r="H540" s="218"/>
      <c r="I540" s="218">
        <v>0.15</v>
      </c>
      <c r="J540" s="218">
        <v>2.25</v>
      </c>
      <c r="K540" s="218"/>
      <c r="L540" s="218"/>
      <c r="M540" s="273">
        <v>2.25</v>
      </c>
    </row>
    <row r="541" spans="1:13" x14ac:dyDescent="0.2">
      <c r="A541" s="231"/>
      <c r="B541" s="9"/>
      <c r="C541" s="7"/>
      <c r="D541" s="8"/>
      <c r="E541" s="218"/>
      <c r="F541" s="218"/>
      <c r="G541" s="218"/>
      <c r="H541" s="218"/>
      <c r="I541" s="218"/>
      <c r="J541" s="218"/>
      <c r="K541" s="218"/>
      <c r="L541" s="218"/>
      <c r="M541" s="273"/>
    </row>
    <row r="542" spans="1:13" x14ac:dyDescent="0.2">
      <c r="A542" s="231"/>
      <c r="B542" s="9"/>
      <c r="C542" s="7" t="s">
        <v>411</v>
      </c>
      <c r="D542" s="8"/>
      <c r="E542" s="218"/>
      <c r="F542" s="218"/>
      <c r="G542" s="218"/>
      <c r="H542" s="218"/>
      <c r="I542" s="218"/>
      <c r="J542" s="218"/>
      <c r="K542" s="218"/>
      <c r="L542" s="218"/>
      <c r="M542" s="273"/>
    </row>
    <row r="543" spans="1:13" x14ac:dyDescent="0.2">
      <c r="A543" s="231"/>
      <c r="B543" s="9"/>
      <c r="C543" s="7" t="s">
        <v>410</v>
      </c>
      <c r="D543" s="8"/>
      <c r="E543" s="218"/>
      <c r="F543" s="218">
        <v>12.4</v>
      </c>
      <c r="G543" s="218"/>
      <c r="H543" s="218"/>
      <c r="I543" s="218">
        <v>0.15</v>
      </c>
      <c r="J543" s="218">
        <v>1.8599999999999999</v>
      </c>
      <c r="K543" s="218"/>
      <c r="L543" s="218"/>
      <c r="M543" s="273">
        <v>1.8599999999999999</v>
      </c>
    </row>
    <row r="544" spans="1:13" x14ac:dyDescent="0.2">
      <c r="A544" s="231"/>
      <c r="B544" s="9"/>
      <c r="C544" s="7"/>
      <c r="D544" s="8"/>
      <c r="E544" s="218"/>
      <c r="F544" s="218"/>
      <c r="G544" s="218"/>
      <c r="H544" s="218"/>
      <c r="I544" s="218"/>
      <c r="J544" s="218"/>
      <c r="K544" s="218"/>
      <c r="L544" s="218"/>
      <c r="M544" s="273"/>
    </row>
    <row r="545" spans="1:13" x14ac:dyDescent="0.2">
      <c r="A545" s="231"/>
      <c r="B545" s="9"/>
      <c r="C545" s="7" t="s">
        <v>179</v>
      </c>
      <c r="D545" s="8"/>
      <c r="E545" s="218"/>
      <c r="F545" s="218"/>
      <c r="G545" s="218"/>
      <c r="H545" s="218"/>
      <c r="I545" s="218"/>
      <c r="J545" s="218"/>
      <c r="K545" s="218"/>
      <c r="L545" s="218"/>
      <c r="M545" s="273"/>
    </row>
    <row r="546" spans="1:13" x14ac:dyDescent="0.2">
      <c r="A546" s="231"/>
      <c r="B546" s="9"/>
      <c r="C546" s="7" t="s">
        <v>412</v>
      </c>
      <c r="D546" s="8"/>
      <c r="E546" s="218"/>
      <c r="F546" s="218"/>
      <c r="G546" s="218"/>
      <c r="H546" s="218"/>
      <c r="I546" s="218"/>
      <c r="J546" s="218"/>
      <c r="K546" s="218"/>
      <c r="L546" s="218"/>
      <c r="M546" s="273"/>
    </row>
    <row r="547" spans="1:13" x14ac:dyDescent="0.2">
      <c r="A547" s="231"/>
      <c r="B547" s="9"/>
      <c r="C547" s="7" t="s">
        <v>413</v>
      </c>
      <c r="D547" s="8"/>
      <c r="E547" s="218"/>
      <c r="F547" s="218">
        <v>13.2</v>
      </c>
      <c r="G547" s="218"/>
      <c r="H547" s="218"/>
      <c r="I547" s="218">
        <v>0.15</v>
      </c>
      <c r="J547" s="218">
        <v>1.9799999999999998</v>
      </c>
      <c r="K547" s="218"/>
      <c r="L547" s="218"/>
      <c r="M547" s="273">
        <v>1.9799999999999998</v>
      </c>
    </row>
    <row r="548" spans="1:13" x14ac:dyDescent="0.2">
      <c r="A548" s="231"/>
      <c r="B548" s="9"/>
      <c r="C548" s="7" t="s">
        <v>418</v>
      </c>
      <c r="D548" s="8"/>
      <c r="E548" s="218"/>
      <c r="F548" s="218">
        <v>9.8000000000000007</v>
      </c>
      <c r="G548" s="218"/>
      <c r="H548" s="218"/>
      <c r="I548" s="218">
        <v>0.15</v>
      </c>
      <c r="J548" s="218">
        <v>1.47</v>
      </c>
      <c r="K548" s="218"/>
      <c r="L548" s="218"/>
      <c r="M548" s="273">
        <v>1.47</v>
      </c>
    </row>
    <row r="549" spans="1:13" x14ac:dyDescent="0.2">
      <c r="A549" s="231"/>
      <c r="B549" s="9"/>
      <c r="C549" s="7"/>
      <c r="D549" s="8"/>
      <c r="E549" s="218"/>
      <c r="F549" s="218"/>
      <c r="G549" s="218"/>
      <c r="H549" s="218"/>
      <c r="I549" s="218"/>
      <c r="J549" s="218"/>
      <c r="K549" s="218"/>
      <c r="L549" s="218"/>
      <c r="M549" s="273"/>
    </row>
    <row r="550" spans="1:13" x14ac:dyDescent="0.2">
      <c r="A550" s="231"/>
      <c r="B550" s="9"/>
      <c r="C550" s="7" t="s">
        <v>415</v>
      </c>
      <c r="D550" s="8"/>
      <c r="E550" s="218"/>
      <c r="F550" s="218"/>
      <c r="G550" s="218"/>
      <c r="H550" s="218"/>
      <c r="I550" s="218"/>
      <c r="J550" s="218"/>
      <c r="K550" s="218"/>
      <c r="L550" s="218"/>
      <c r="M550" s="273"/>
    </row>
    <row r="551" spans="1:13" x14ac:dyDescent="0.2">
      <c r="A551" s="231"/>
      <c r="B551" s="9"/>
      <c r="C551" s="7" t="s">
        <v>414</v>
      </c>
      <c r="D551" s="8"/>
      <c r="E551" s="218"/>
      <c r="F551" s="218">
        <v>14.4</v>
      </c>
      <c r="G551" s="218"/>
      <c r="H551" s="218"/>
      <c r="I551" s="218">
        <v>0.15</v>
      </c>
      <c r="J551" s="218">
        <v>2.16</v>
      </c>
      <c r="K551" s="218"/>
      <c r="L551" s="218"/>
      <c r="M551" s="273">
        <v>2.16</v>
      </c>
    </row>
    <row r="552" spans="1:13" x14ac:dyDescent="0.2">
      <c r="A552" s="231"/>
      <c r="B552" s="9"/>
      <c r="C552" s="7"/>
      <c r="D552" s="8"/>
      <c r="E552" s="218"/>
      <c r="F552" s="218"/>
      <c r="G552" s="218"/>
      <c r="H552" s="218"/>
      <c r="I552" s="218"/>
      <c r="J552" s="218"/>
      <c r="K552" s="218"/>
      <c r="L552" s="218"/>
      <c r="M552" s="273"/>
    </row>
    <row r="553" spans="1:13" x14ac:dyDescent="0.2">
      <c r="A553" s="231"/>
      <c r="B553" s="9"/>
      <c r="C553" s="7" t="s">
        <v>416</v>
      </c>
      <c r="D553" s="8"/>
      <c r="E553" s="218"/>
      <c r="F553" s="218"/>
      <c r="G553" s="218"/>
      <c r="H553" s="218"/>
      <c r="I553" s="218"/>
      <c r="J553" s="218"/>
      <c r="K553" s="218"/>
      <c r="L553" s="218"/>
      <c r="M553" s="273"/>
    </row>
    <row r="554" spans="1:13" x14ac:dyDescent="0.2">
      <c r="A554" s="231"/>
      <c r="B554" s="9"/>
      <c r="C554" s="7" t="s">
        <v>417</v>
      </c>
      <c r="D554" s="8"/>
      <c r="E554" s="218"/>
      <c r="F554" s="218">
        <v>13.8</v>
      </c>
      <c r="G554" s="218"/>
      <c r="H554" s="218"/>
      <c r="I554" s="218">
        <v>0.15</v>
      </c>
      <c r="J554" s="218">
        <v>2.0699999999999998</v>
      </c>
      <c r="K554" s="218"/>
      <c r="L554" s="218"/>
      <c r="M554" s="273">
        <v>2.0699999999999998</v>
      </c>
    </row>
    <row r="555" spans="1:13" x14ac:dyDescent="0.2">
      <c r="A555" s="231"/>
      <c r="B555" s="9"/>
      <c r="C555" s="7"/>
      <c r="D555" s="8"/>
      <c r="E555" s="218"/>
      <c r="F555" s="218"/>
      <c r="G555" s="218"/>
      <c r="H555" s="218"/>
      <c r="I555" s="218"/>
      <c r="J555" s="218"/>
      <c r="K555" s="218"/>
      <c r="L555" s="218"/>
      <c r="M555" s="273"/>
    </row>
    <row r="556" spans="1:13" x14ac:dyDescent="0.2">
      <c r="A556" s="231"/>
      <c r="B556" s="9"/>
      <c r="C556" s="7" t="s">
        <v>152</v>
      </c>
      <c r="D556" s="8"/>
      <c r="E556" s="218"/>
      <c r="F556" s="218"/>
      <c r="G556" s="218"/>
      <c r="H556" s="218"/>
      <c r="I556" s="218"/>
      <c r="J556" s="218"/>
      <c r="K556" s="218"/>
      <c r="L556" s="218"/>
      <c r="M556" s="273"/>
    </row>
    <row r="557" spans="1:13" x14ac:dyDescent="0.2">
      <c r="A557" s="231"/>
      <c r="B557" s="9"/>
      <c r="C557" s="7" t="s">
        <v>420</v>
      </c>
      <c r="D557" s="8"/>
      <c r="E557" s="218"/>
      <c r="F557" s="218"/>
      <c r="G557" s="218"/>
      <c r="H557" s="218"/>
      <c r="I557" s="218"/>
      <c r="J557" s="218"/>
      <c r="K557" s="218"/>
      <c r="L557" s="218"/>
      <c r="M557" s="273"/>
    </row>
    <row r="558" spans="1:13" x14ac:dyDescent="0.2">
      <c r="A558" s="231"/>
      <c r="B558" s="9"/>
      <c r="C558" s="7" t="s">
        <v>406</v>
      </c>
      <c r="D558" s="8"/>
      <c r="E558" s="218"/>
      <c r="F558" s="218">
        <v>13.8</v>
      </c>
      <c r="G558" s="218"/>
      <c r="H558" s="218"/>
      <c r="I558" s="218">
        <v>0.15</v>
      </c>
      <c r="J558" s="218">
        <v>2.0699999999999998</v>
      </c>
      <c r="K558" s="218"/>
      <c r="L558" s="218"/>
      <c r="M558" s="273">
        <v>2.0699999999999998</v>
      </c>
    </row>
    <row r="559" spans="1:13" x14ac:dyDescent="0.2">
      <c r="A559" s="231"/>
      <c r="B559" s="9"/>
      <c r="C559" s="7" t="s">
        <v>419</v>
      </c>
      <c r="D559" s="8"/>
      <c r="E559" s="218"/>
      <c r="F559" s="218">
        <v>10.4</v>
      </c>
      <c r="G559" s="218"/>
      <c r="H559" s="218"/>
      <c r="I559" s="218">
        <v>0.15</v>
      </c>
      <c r="J559" s="218">
        <v>1.56</v>
      </c>
      <c r="K559" s="218"/>
      <c r="L559" s="218"/>
      <c r="M559" s="273">
        <v>1.56</v>
      </c>
    </row>
    <row r="560" spans="1:13" x14ac:dyDescent="0.2">
      <c r="A560" s="231"/>
      <c r="B560" s="9"/>
      <c r="C560" s="7"/>
      <c r="D560" s="8"/>
      <c r="E560" s="218"/>
      <c r="F560" s="218"/>
      <c r="G560" s="218"/>
      <c r="H560" s="218"/>
      <c r="I560" s="218"/>
      <c r="J560" s="218"/>
      <c r="K560" s="218"/>
      <c r="L560" s="218"/>
      <c r="M560" s="273"/>
    </row>
    <row r="561" spans="1:14" x14ac:dyDescent="0.2">
      <c r="A561" s="231"/>
      <c r="B561" s="9"/>
      <c r="C561" s="7" t="s">
        <v>421</v>
      </c>
      <c r="D561" s="8"/>
      <c r="E561" s="218"/>
      <c r="F561" s="218"/>
      <c r="G561" s="218"/>
      <c r="H561" s="218"/>
      <c r="I561" s="218"/>
      <c r="J561" s="218"/>
      <c r="K561" s="218"/>
      <c r="L561" s="218"/>
      <c r="M561" s="273"/>
    </row>
    <row r="562" spans="1:14" x14ac:dyDescent="0.2">
      <c r="A562" s="231"/>
      <c r="B562" s="9"/>
      <c r="C562" s="7" t="s">
        <v>409</v>
      </c>
      <c r="D562" s="8"/>
      <c r="E562" s="218"/>
      <c r="F562" s="218">
        <v>15</v>
      </c>
      <c r="G562" s="218"/>
      <c r="H562" s="218"/>
      <c r="I562" s="218">
        <v>0.15</v>
      </c>
      <c r="J562" s="218">
        <v>2.25</v>
      </c>
      <c r="K562" s="218"/>
      <c r="L562" s="218"/>
      <c r="M562" s="273">
        <v>2.25</v>
      </c>
    </row>
    <row r="563" spans="1:14" x14ac:dyDescent="0.2">
      <c r="A563" s="231"/>
      <c r="B563" s="9"/>
      <c r="C563" s="7"/>
      <c r="D563" s="8"/>
      <c r="E563" s="218"/>
      <c r="F563" s="218"/>
      <c r="G563" s="218"/>
      <c r="H563" s="218"/>
      <c r="I563" s="218"/>
      <c r="J563" s="218"/>
      <c r="K563" s="218"/>
      <c r="L563" s="218"/>
      <c r="M563" s="273"/>
    </row>
    <row r="564" spans="1:14" x14ac:dyDescent="0.2">
      <c r="A564" s="231"/>
      <c r="B564" s="9"/>
      <c r="C564" s="7" t="s">
        <v>422</v>
      </c>
      <c r="D564" s="8"/>
      <c r="E564" s="218"/>
      <c r="F564" s="218"/>
      <c r="G564" s="218"/>
      <c r="H564" s="218"/>
      <c r="I564" s="218"/>
      <c r="J564" s="218"/>
      <c r="K564" s="218"/>
      <c r="L564" s="218"/>
      <c r="M564" s="273"/>
    </row>
    <row r="565" spans="1:14" x14ac:dyDescent="0.2">
      <c r="A565" s="231"/>
      <c r="B565" s="9"/>
      <c r="C565" s="7" t="s">
        <v>410</v>
      </c>
      <c r="D565" s="8"/>
      <c r="E565" s="218"/>
      <c r="F565" s="218">
        <v>12.4</v>
      </c>
      <c r="G565" s="218"/>
      <c r="H565" s="218"/>
      <c r="I565" s="218">
        <v>0.15</v>
      </c>
      <c r="J565" s="218">
        <v>1.8599999999999999</v>
      </c>
      <c r="K565" s="218"/>
      <c r="L565" s="218"/>
      <c r="M565" s="273">
        <v>1.8599999999999999</v>
      </c>
    </row>
    <row r="566" spans="1:14" x14ac:dyDescent="0.2">
      <c r="A566" s="231"/>
      <c r="B566" s="9"/>
      <c r="C566" s="7"/>
      <c r="D566" s="8"/>
      <c r="E566" s="218"/>
      <c r="F566" s="218"/>
      <c r="G566" s="218"/>
      <c r="H566" s="218"/>
      <c r="I566" s="218"/>
      <c r="J566" s="218"/>
      <c r="K566" s="218"/>
      <c r="L566" s="218"/>
      <c r="M566" s="273"/>
    </row>
    <row r="567" spans="1:14" x14ac:dyDescent="0.2">
      <c r="A567" s="231"/>
      <c r="B567" s="9"/>
      <c r="C567" s="7" t="s">
        <v>423</v>
      </c>
      <c r="D567" s="8"/>
      <c r="E567" s="218"/>
      <c r="F567" s="218"/>
      <c r="G567" s="218"/>
      <c r="H567" s="218"/>
      <c r="I567" s="218"/>
      <c r="J567" s="218"/>
      <c r="K567" s="218"/>
      <c r="L567" s="218"/>
      <c r="M567" s="273"/>
    </row>
    <row r="568" spans="1:14" x14ac:dyDescent="0.2">
      <c r="A568" s="231"/>
      <c r="B568" s="9"/>
      <c r="C568" s="7" t="s">
        <v>424</v>
      </c>
      <c r="D568" s="8"/>
      <c r="E568" s="218"/>
      <c r="F568" s="218">
        <v>8.8000000000000007</v>
      </c>
      <c r="G568" s="218"/>
      <c r="H568" s="218"/>
      <c r="I568" s="218">
        <v>0.15</v>
      </c>
      <c r="J568" s="218">
        <v>1.32</v>
      </c>
      <c r="K568" s="218"/>
      <c r="L568" s="218"/>
      <c r="M568" s="273">
        <v>1.32</v>
      </c>
    </row>
    <row r="569" spans="1:14" x14ac:dyDescent="0.2">
      <c r="A569" s="231"/>
      <c r="B569" s="9"/>
      <c r="C569" s="7"/>
      <c r="D569" s="8"/>
      <c r="E569" s="218"/>
      <c r="F569" s="218"/>
      <c r="G569" s="218"/>
      <c r="H569" s="218"/>
      <c r="I569" s="218"/>
      <c r="J569" s="218"/>
      <c r="K569" s="218"/>
      <c r="L569" s="218"/>
      <c r="M569" s="273"/>
    </row>
    <row r="570" spans="1:14" x14ac:dyDescent="0.2">
      <c r="A570" s="231"/>
      <c r="B570" s="9"/>
      <c r="C570" s="7"/>
      <c r="D570" s="8"/>
      <c r="E570" s="218"/>
      <c r="F570" s="218"/>
      <c r="G570" s="218"/>
      <c r="H570" s="218"/>
      <c r="I570" s="218"/>
      <c r="J570" s="218"/>
      <c r="K570" s="218"/>
      <c r="L570" s="218"/>
      <c r="M570" s="273"/>
    </row>
    <row r="571" spans="1:14" x14ac:dyDescent="0.2">
      <c r="A571" s="231"/>
      <c r="B571" s="9"/>
      <c r="C571" s="7"/>
      <c r="D571" s="8"/>
      <c r="E571" s="218"/>
      <c r="F571" s="218"/>
      <c r="G571" s="218"/>
      <c r="H571" s="218"/>
      <c r="I571" s="218"/>
      <c r="J571" s="218"/>
      <c r="K571" s="218"/>
      <c r="L571" s="218"/>
      <c r="M571" s="273"/>
    </row>
    <row r="572" spans="1:14" ht="48" x14ac:dyDescent="0.2">
      <c r="A572" s="231" t="s">
        <v>93</v>
      </c>
      <c r="B572" s="9" t="s">
        <v>354</v>
      </c>
      <c r="C572" s="7" t="s">
        <v>94</v>
      </c>
      <c r="D572" s="17" t="s">
        <v>17</v>
      </c>
      <c r="E572" s="218"/>
      <c r="F572" s="218"/>
      <c r="G572" s="218"/>
      <c r="H572" s="218"/>
      <c r="I572" s="218"/>
      <c r="J572" s="218"/>
      <c r="K572" s="218"/>
      <c r="L572" s="218"/>
      <c r="M572" s="272">
        <f>SUM(M573)</f>
        <v>32.81</v>
      </c>
    </row>
    <row r="573" spans="1:14" x14ac:dyDescent="0.2">
      <c r="A573" s="231"/>
      <c r="B573" s="9"/>
      <c r="C573" s="7" t="s">
        <v>640</v>
      </c>
      <c r="D573" s="17"/>
      <c r="E573" s="218"/>
      <c r="F573" s="218"/>
      <c r="G573" s="218"/>
      <c r="H573" s="218"/>
      <c r="I573" s="218"/>
      <c r="J573" s="218">
        <v>32.81</v>
      </c>
      <c r="K573" s="218"/>
      <c r="L573" s="218"/>
      <c r="M573" s="273">
        <f>J573</f>
        <v>32.81</v>
      </c>
    </row>
    <row r="574" spans="1:14" x14ac:dyDescent="0.2">
      <c r="A574" s="231"/>
      <c r="B574" s="9"/>
      <c r="C574" s="7"/>
      <c r="D574" s="17"/>
      <c r="E574" s="218"/>
      <c r="F574" s="218"/>
      <c r="G574" s="218"/>
      <c r="H574" s="218"/>
      <c r="I574" s="218"/>
      <c r="J574" s="218"/>
      <c r="K574" s="218"/>
      <c r="L574" s="218"/>
      <c r="M574" s="273"/>
    </row>
    <row r="575" spans="1:14" x14ac:dyDescent="0.2">
      <c r="A575" s="231"/>
      <c r="B575" s="9"/>
      <c r="C575" s="7"/>
      <c r="D575" s="17"/>
      <c r="E575" s="218"/>
      <c r="F575" s="218"/>
      <c r="G575" s="218"/>
      <c r="H575" s="218"/>
      <c r="I575" s="218"/>
      <c r="J575" s="218"/>
      <c r="K575" s="218"/>
      <c r="L575" s="218"/>
      <c r="M575" s="277"/>
    </row>
    <row r="576" spans="1:14" ht="15" x14ac:dyDescent="0.25">
      <c r="A576" s="285" t="s">
        <v>641</v>
      </c>
      <c r="B576" s="19" t="s">
        <v>355</v>
      </c>
      <c r="C576" s="286" t="s">
        <v>642</v>
      </c>
      <c r="D576" s="46" t="s">
        <v>17</v>
      </c>
      <c r="E576" s="47"/>
      <c r="F576" s="47"/>
      <c r="G576" s="47"/>
      <c r="H576" s="47"/>
      <c r="I576" s="47"/>
      <c r="J576" s="47"/>
      <c r="K576" s="47"/>
      <c r="L576" s="47"/>
      <c r="M576" s="272">
        <f>SUM(M577)</f>
        <v>8.6999999999999993</v>
      </c>
      <c r="N576" s="48"/>
    </row>
    <row r="577" spans="1:13" x14ac:dyDescent="0.2">
      <c r="A577" s="231"/>
      <c r="B577" s="9"/>
      <c r="C577" s="7" t="s">
        <v>643</v>
      </c>
      <c r="D577" s="17"/>
      <c r="E577" s="218"/>
      <c r="F577" s="218"/>
      <c r="G577" s="218"/>
      <c r="H577" s="218"/>
      <c r="I577" s="218"/>
      <c r="J577" s="218">
        <v>8.6999999999999993</v>
      </c>
      <c r="K577" s="218"/>
      <c r="L577" s="218"/>
      <c r="M577" s="273">
        <f>J577</f>
        <v>8.6999999999999993</v>
      </c>
    </row>
    <row r="578" spans="1:13" x14ac:dyDescent="0.2">
      <c r="A578" s="231"/>
      <c r="B578" s="9"/>
      <c r="C578" s="7"/>
      <c r="D578" s="17"/>
      <c r="E578" s="218"/>
      <c r="F578" s="218"/>
      <c r="G578" s="218"/>
      <c r="H578" s="218"/>
      <c r="I578" s="218"/>
      <c r="J578" s="218"/>
      <c r="K578" s="218"/>
      <c r="L578" s="218"/>
      <c r="M578" s="273"/>
    </row>
    <row r="579" spans="1:13" x14ac:dyDescent="0.2">
      <c r="A579" s="231"/>
      <c r="B579" s="9"/>
      <c r="C579" s="7"/>
      <c r="D579" s="17"/>
      <c r="E579" s="218"/>
      <c r="F579" s="218"/>
      <c r="G579" s="218"/>
      <c r="H579" s="218"/>
      <c r="I579" s="218"/>
      <c r="J579" s="218"/>
      <c r="K579" s="218"/>
      <c r="L579" s="218"/>
      <c r="M579" s="273"/>
    </row>
    <row r="580" spans="1:13" ht="72" x14ac:dyDescent="0.2">
      <c r="A580" s="231" t="s">
        <v>95</v>
      </c>
      <c r="B580" s="9" t="s">
        <v>356</v>
      </c>
      <c r="C580" s="7" t="s">
        <v>96</v>
      </c>
      <c r="D580" s="17" t="s">
        <v>17</v>
      </c>
      <c r="E580" s="218"/>
      <c r="F580" s="218"/>
      <c r="G580" s="218"/>
      <c r="H580" s="218"/>
      <c r="I580" s="218"/>
      <c r="J580" s="218"/>
      <c r="K580" s="218"/>
      <c r="L580" s="218"/>
      <c r="M580" s="272">
        <f>SUM(M582:M593)</f>
        <v>65.59</v>
      </c>
    </row>
    <row r="581" spans="1:13" x14ac:dyDescent="0.2">
      <c r="A581" s="231"/>
      <c r="B581" s="9"/>
      <c r="C581" s="7" t="s">
        <v>436</v>
      </c>
      <c r="D581" s="17"/>
      <c r="E581" s="218"/>
      <c r="F581" s="218"/>
      <c r="G581" s="218"/>
      <c r="H581" s="218"/>
      <c r="I581" s="218"/>
      <c r="J581" s="218"/>
      <c r="K581" s="218"/>
      <c r="L581" s="218"/>
      <c r="M581" s="277"/>
    </row>
    <row r="582" spans="1:13" x14ac:dyDescent="0.2">
      <c r="A582" s="231"/>
      <c r="B582" s="9"/>
      <c r="C582" s="7" t="s">
        <v>437</v>
      </c>
      <c r="D582" s="17"/>
      <c r="E582" s="218"/>
      <c r="F582" s="218"/>
      <c r="G582" s="218"/>
      <c r="H582" s="218"/>
      <c r="I582" s="218"/>
      <c r="J582" s="218">
        <v>2.96</v>
      </c>
      <c r="K582" s="218"/>
      <c r="L582" s="218"/>
      <c r="M582" s="281">
        <f>J582</f>
        <v>2.96</v>
      </c>
    </row>
    <row r="583" spans="1:13" x14ac:dyDescent="0.2">
      <c r="A583" s="231"/>
      <c r="B583" s="9"/>
      <c r="C583" s="7" t="s">
        <v>438</v>
      </c>
      <c r="D583" s="17"/>
      <c r="E583" s="218"/>
      <c r="F583" s="218"/>
      <c r="G583" s="218"/>
      <c r="H583" s="218"/>
      <c r="I583" s="218"/>
      <c r="J583" s="218">
        <v>2.29</v>
      </c>
      <c r="K583" s="218"/>
      <c r="L583" s="218"/>
      <c r="M583" s="281">
        <f>J583</f>
        <v>2.29</v>
      </c>
    </row>
    <row r="584" spans="1:13" x14ac:dyDescent="0.2">
      <c r="A584" s="231"/>
      <c r="B584" s="9"/>
      <c r="C584" s="7" t="s">
        <v>428</v>
      </c>
      <c r="D584" s="17"/>
      <c r="E584" s="218"/>
      <c r="F584" s="218"/>
      <c r="G584" s="218"/>
      <c r="H584" s="218"/>
      <c r="I584" s="218"/>
      <c r="J584" s="218">
        <v>3.05</v>
      </c>
      <c r="K584" s="218"/>
      <c r="L584" s="218"/>
      <c r="M584" s="281">
        <f>J584</f>
        <v>3.05</v>
      </c>
    </row>
    <row r="585" spans="1:13" x14ac:dyDescent="0.2">
      <c r="A585" s="231"/>
      <c r="B585" s="9"/>
      <c r="C585" s="7"/>
      <c r="D585" s="17"/>
      <c r="E585" s="218"/>
      <c r="F585" s="218"/>
      <c r="G585" s="218"/>
      <c r="H585" s="218"/>
      <c r="I585" s="218"/>
      <c r="J585" s="218"/>
      <c r="K585" s="218"/>
      <c r="L585" s="218"/>
      <c r="M585" s="277"/>
    </row>
    <row r="586" spans="1:13" x14ac:dyDescent="0.2">
      <c r="A586" s="231"/>
      <c r="B586" s="9"/>
      <c r="C586" s="7" t="s">
        <v>439</v>
      </c>
      <c r="D586" s="17"/>
      <c r="E586" s="218"/>
      <c r="F586" s="218"/>
      <c r="G586" s="218"/>
      <c r="H586" s="218"/>
      <c r="I586" s="218"/>
      <c r="J586" s="218"/>
      <c r="K586" s="218"/>
      <c r="L586" s="218"/>
      <c r="M586" s="277"/>
    </row>
    <row r="587" spans="1:13" x14ac:dyDescent="0.2">
      <c r="A587" s="231"/>
      <c r="B587" s="9"/>
      <c r="C587" s="7" t="s">
        <v>164</v>
      </c>
      <c r="D587" s="17"/>
      <c r="E587" s="218"/>
      <c r="F587" s="218"/>
      <c r="G587" s="218"/>
      <c r="H587" s="218"/>
      <c r="I587" s="218"/>
      <c r="J587" s="218">
        <v>17.13</v>
      </c>
      <c r="K587" s="218"/>
      <c r="L587" s="218"/>
      <c r="M587" s="281">
        <f>J587</f>
        <v>17.13</v>
      </c>
    </row>
    <row r="588" spans="1:13" x14ac:dyDescent="0.2">
      <c r="A588" s="231"/>
      <c r="B588" s="9"/>
      <c r="C588" s="7" t="s">
        <v>163</v>
      </c>
      <c r="D588" s="17"/>
      <c r="E588" s="218"/>
      <c r="F588" s="218"/>
      <c r="G588" s="218"/>
      <c r="H588" s="218"/>
      <c r="I588" s="218"/>
      <c r="J588" s="218">
        <v>15.22</v>
      </c>
      <c r="K588" s="218"/>
      <c r="L588" s="218"/>
      <c r="M588" s="281">
        <f>J588</f>
        <v>15.22</v>
      </c>
    </row>
    <row r="589" spans="1:13" x14ac:dyDescent="0.2">
      <c r="A589" s="231"/>
      <c r="B589" s="9"/>
      <c r="C589" s="7"/>
      <c r="D589" s="17"/>
      <c r="E589" s="218"/>
      <c r="F589" s="218"/>
      <c r="G589" s="218"/>
      <c r="H589" s="218"/>
      <c r="I589" s="218"/>
      <c r="J589" s="218"/>
      <c r="K589" s="218"/>
      <c r="L589" s="218"/>
      <c r="M589" s="277"/>
    </row>
    <row r="590" spans="1:13" x14ac:dyDescent="0.2">
      <c r="A590" s="231"/>
      <c r="B590" s="9"/>
      <c r="C590" s="7" t="s">
        <v>440</v>
      </c>
      <c r="D590" s="17"/>
      <c r="E590" s="218"/>
      <c r="F590" s="218"/>
      <c r="G590" s="218"/>
      <c r="H590" s="218"/>
      <c r="I590" s="218"/>
      <c r="J590" s="218"/>
      <c r="K590" s="218"/>
      <c r="L590" s="218"/>
      <c r="M590" s="277"/>
    </row>
    <row r="591" spans="1:13" x14ac:dyDescent="0.2">
      <c r="A591" s="231"/>
      <c r="B591" s="9"/>
      <c r="C591" s="7" t="s">
        <v>394</v>
      </c>
      <c r="D591" s="17"/>
      <c r="E591" s="218"/>
      <c r="F591" s="218"/>
      <c r="G591" s="218"/>
      <c r="H591" s="218"/>
      <c r="I591" s="218"/>
      <c r="J591" s="218">
        <v>2.33</v>
      </c>
      <c r="K591" s="218"/>
      <c r="L591" s="218"/>
      <c r="M591" s="281">
        <f>J591</f>
        <v>2.33</v>
      </c>
    </row>
    <row r="592" spans="1:13" x14ac:dyDescent="0.2">
      <c r="A592" s="231"/>
      <c r="B592" s="9"/>
      <c r="C592" s="7" t="s">
        <v>171</v>
      </c>
      <c r="D592" s="17"/>
      <c r="E592" s="218"/>
      <c r="F592" s="218"/>
      <c r="G592" s="218"/>
      <c r="H592" s="218"/>
      <c r="I592" s="218"/>
      <c r="J592" s="218">
        <v>12.07</v>
      </c>
      <c r="K592" s="218"/>
      <c r="L592" s="218"/>
      <c r="M592" s="281">
        <f>J592</f>
        <v>12.07</v>
      </c>
    </row>
    <row r="593" spans="1:13" x14ac:dyDescent="0.2">
      <c r="A593" s="231"/>
      <c r="B593" s="9"/>
      <c r="C593" s="7" t="s">
        <v>441</v>
      </c>
      <c r="D593" s="17"/>
      <c r="E593" s="218">
        <v>2</v>
      </c>
      <c r="F593" s="218"/>
      <c r="G593" s="218"/>
      <c r="H593" s="218"/>
      <c r="I593" s="218"/>
      <c r="J593" s="218">
        <v>5.27</v>
      </c>
      <c r="K593" s="218"/>
      <c r="L593" s="218"/>
      <c r="M593" s="281">
        <f>2*J593</f>
        <v>10.54</v>
      </c>
    </row>
    <row r="594" spans="1:13" x14ac:dyDescent="0.2">
      <c r="A594" s="231"/>
      <c r="B594" s="9"/>
      <c r="C594" s="7"/>
      <c r="D594" s="17"/>
      <c r="E594" s="218"/>
      <c r="F594" s="218"/>
      <c r="G594" s="218"/>
      <c r="H594" s="218"/>
      <c r="I594" s="218"/>
      <c r="J594" s="218"/>
      <c r="K594" s="218"/>
      <c r="L594" s="218"/>
      <c r="M594" s="281"/>
    </row>
    <row r="595" spans="1:13" x14ac:dyDescent="0.2">
      <c r="A595" s="231"/>
      <c r="B595" s="9"/>
      <c r="C595" s="7"/>
      <c r="D595" s="17"/>
      <c r="E595" s="218"/>
      <c r="F595" s="218"/>
      <c r="G595" s="218"/>
      <c r="H595" s="218"/>
      <c r="I595" s="218"/>
      <c r="J595" s="218"/>
      <c r="K595" s="218"/>
      <c r="L595" s="218"/>
      <c r="M595" s="277"/>
    </row>
    <row r="596" spans="1:13" ht="60" x14ac:dyDescent="0.2">
      <c r="A596" s="236" t="s">
        <v>430</v>
      </c>
      <c r="B596" s="344" t="s">
        <v>706</v>
      </c>
      <c r="C596" s="345" t="s">
        <v>431</v>
      </c>
      <c r="D596" s="348" t="s">
        <v>17</v>
      </c>
      <c r="E596" s="347"/>
      <c r="F596" s="347"/>
      <c r="G596" s="347"/>
      <c r="H596" s="347"/>
      <c r="I596" s="347"/>
      <c r="J596" s="347"/>
      <c r="K596" s="347"/>
      <c r="L596" s="347"/>
      <c r="M596" s="349">
        <f>SUM(M598:M601)</f>
        <v>102.32</v>
      </c>
    </row>
    <row r="597" spans="1:13" x14ac:dyDescent="0.2">
      <c r="A597" s="231"/>
      <c r="B597" s="9"/>
      <c r="C597" s="7" t="s">
        <v>535</v>
      </c>
      <c r="D597" s="17"/>
      <c r="E597" s="218"/>
      <c r="F597" s="218"/>
      <c r="G597" s="218"/>
      <c r="H597" s="218"/>
      <c r="I597" s="218"/>
      <c r="J597" s="218"/>
      <c r="K597" s="218"/>
      <c r="L597" s="218"/>
      <c r="M597" s="277"/>
    </row>
    <row r="598" spans="1:13" x14ac:dyDescent="0.2">
      <c r="A598" s="231"/>
      <c r="B598" s="9"/>
      <c r="C598" s="7" t="s">
        <v>158</v>
      </c>
      <c r="D598" s="17"/>
      <c r="E598" s="218"/>
      <c r="F598" s="218"/>
      <c r="G598" s="218"/>
      <c r="H598" s="218"/>
      <c r="I598" s="218"/>
      <c r="J598" s="218">
        <v>21.35</v>
      </c>
      <c r="K598" s="218"/>
      <c r="L598" s="218"/>
      <c r="M598" s="281">
        <v>21.35</v>
      </c>
    </row>
    <row r="599" spans="1:13" x14ac:dyDescent="0.2">
      <c r="A599" s="231"/>
      <c r="B599" s="9"/>
      <c r="C599" s="7" t="s">
        <v>159</v>
      </c>
      <c r="D599" s="17"/>
      <c r="E599" s="218"/>
      <c r="F599" s="218"/>
      <c r="G599" s="218"/>
      <c r="H599" s="218"/>
      <c r="I599" s="218"/>
      <c r="J599" s="218">
        <v>20.11</v>
      </c>
      <c r="K599" s="218"/>
      <c r="L599" s="218"/>
      <c r="M599" s="281">
        <v>20.11</v>
      </c>
    </row>
    <row r="600" spans="1:13" x14ac:dyDescent="0.2">
      <c r="A600" s="231"/>
      <c r="B600" s="9"/>
      <c r="C600" s="7" t="s">
        <v>160</v>
      </c>
      <c r="D600" s="17"/>
      <c r="E600" s="218"/>
      <c r="F600" s="218"/>
      <c r="G600" s="218"/>
      <c r="H600" s="218"/>
      <c r="I600" s="218"/>
      <c r="J600" s="218">
        <v>3.79</v>
      </c>
      <c r="K600" s="218"/>
      <c r="L600" s="218"/>
      <c r="M600" s="281">
        <v>3.79</v>
      </c>
    </row>
    <row r="601" spans="1:13" x14ac:dyDescent="0.2">
      <c r="A601" s="231"/>
      <c r="B601" s="9"/>
      <c r="C601" s="7" t="s">
        <v>209</v>
      </c>
      <c r="D601" s="17"/>
      <c r="E601" s="218"/>
      <c r="F601" s="218"/>
      <c r="G601" s="218"/>
      <c r="H601" s="218"/>
      <c r="I601" s="218"/>
      <c r="J601" s="218">
        <v>57.07</v>
      </c>
      <c r="K601" s="218"/>
      <c r="L601" s="218"/>
      <c r="M601" s="281">
        <v>57.07</v>
      </c>
    </row>
    <row r="602" spans="1:13" x14ac:dyDescent="0.2">
      <c r="A602" s="231"/>
      <c r="B602" s="9"/>
      <c r="C602" s="7"/>
      <c r="D602" s="17"/>
      <c r="E602" s="218"/>
      <c r="F602" s="218"/>
      <c r="G602" s="218"/>
      <c r="H602" s="218"/>
      <c r="I602" s="218"/>
      <c r="J602" s="218"/>
      <c r="K602" s="218"/>
      <c r="L602" s="218"/>
      <c r="M602" s="281"/>
    </row>
    <row r="603" spans="1:13" x14ac:dyDescent="0.2">
      <c r="A603" s="231"/>
      <c r="B603" s="9"/>
      <c r="C603" s="7"/>
      <c r="D603" s="17"/>
      <c r="E603" s="218"/>
      <c r="F603" s="218"/>
      <c r="G603" s="218"/>
      <c r="H603" s="218"/>
      <c r="I603" s="218"/>
      <c r="J603" s="218"/>
      <c r="K603" s="218"/>
      <c r="L603" s="218"/>
      <c r="M603" s="273"/>
    </row>
    <row r="604" spans="1:13" ht="24" x14ac:dyDescent="0.2">
      <c r="A604" s="231" t="s">
        <v>97</v>
      </c>
      <c r="B604" s="9" t="s">
        <v>357</v>
      </c>
      <c r="C604" s="7" t="s">
        <v>98</v>
      </c>
      <c r="D604" s="17" t="s">
        <v>45</v>
      </c>
      <c r="E604" s="218"/>
      <c r="F604" s="218"/>
      <c r="G604" s="218"/>
      <c r="H604" s="218"/>
      <c r="I604" s="218"/>
      <c r="J604" s="218"/>
      <c r="K604" s="218"/>
      <c r="L604" s="218"/>
      <c r="M604" s="272">
        <f>SUM(M605:M610)</f>
        <v>43.35</v>
      </c>
    </row>
    <row r="605" spans="1:13" x14ac:dyDescent="0.2">
      <c r="A605" s="231"/>
      <c r="B605" s="9"/>
      <c r="C605" s="7" t="s">
        <v>439</v>
      </c>
      <c r="D605" s="17"/>
      <c r="E605" s="218"/>
      <c r="F605" s="218"/>
      <c r="G605" s="218"/>
      <c r="H605" s="218"/>
      <c r="I605" s="218"/>
      <c r="J605" s="218"/>
      <c r="K605" s="218"/>
      <c r="L605" s="218"/>
      <c r="M605" s="277"/>
    </row>
    <row r="606" spans="1:13" x14ac:dyDescent="0.2">
      <c r="A606" s="231"/>
      <c r="B606" s="9"/>
      <c r="C606" s="7" t="s">
        <v>164</v>
      </c>
      <c r="D606" s="17"/>
      <c r="E606" s="218"/>
      <c r="F606" s="218"/>
      <c r="G606" s="218">
        <v>16.18</v>
      </c>
      <c r="H606" s="218"/>
      <c r="I606" s="218"/>
      <c r="J606" s="218"/>
      <c r="K606" s="218"/>
      <c r="L606" s="218"/>
      <c r="M606" s="281">
        <f>G606</f>
        <v>16.18</v>
      </c>
    </row>
    <row r="607" spans="1:13" x14ac:dyDescent="0.2">
      <c r="A607" s="231"/>
      <c r="B607" s="9"/>
      <c r="C607" s="7" t="s">
        <v>163</v>
      </c>
      <c r="D607" s="17"/>
      <c r="E607" s="218"/>
      <c r="F607" s="218"/>
      <c r="G607" s="218">
        <v>14.48</v>
      </c>
      <c r="H607" s="218"/>
      <c r="I607" s="218"/>
      <c r="J607" s="218"/>
      <c r="K607" s="218"/>
      <c r="L607" s="218"/>
      <c r="M607" s="281">
        <f>G607</f>
        <v>14.48</v>
      </c>
    </row>
    <row r="608" spans="1:13" x14ac:dyDescent="0.2">
      <c r="A608" s="231"/>
      <c r="B608" s="9"/>
      <c r="C608" s="7"/>
      <c r="D608" s="17"/>
      <c r="E608" s="218"/>
      <c r="F608" s="218"/>
      <c r="G608" s="218"/>
      <c r="H608" s="218"/>
      <c r="I608" s="218"/>
      <c r="J608" s="218"/>
      <c r="K608" s="218"/>
      <c r="L608" s="218"/>
      <c r="M608" s="277"/>
    </row>
    <row r="609" spans="1:13" x14ac:dyDescent="0.2">
      <c r="A609" s="231"/>
      <c r="B609" s="9"/>
      <c r="C609" s="7" t="s">
        <v>440</v>
      </c>
      <c r="D609" s="17"/>
      <c r="E609" s="218"/>
      <c r="F609" s="218"/>
      <c r="G609" s="218"/>
      <c r="H609" s="218"/>
      <c r="I609" s="218"/>
      <c r="J609" s="218"/>
      <c r="K609" s="218"/>
      <c r="L609" s="218"/>
      <c r="M609" s="277"/>
    </row>
    <row r="610" spans="1:13" x14ac:dyDescent="0.2">
      <c r="A610" s="231"/>
      <c r="B610" s="9"/>
      <c r="C610" s="7" t="s">
        <v>171</v>
      </c>
      <c r="D610" s="17"/>
      <c r="E610" s="218"/>
      <c r="F610" s="218"/>
      <c r="G610" s="218">
        <v>12.69</v>
      </c>
      <c r="H610" s="218"/>
      <c r="I610" s="218"/>
      <c r="J610" s="218"/>
      <c r="K610" s="218"/>
      <c r="L610" s="218"/>
      <c r="M610" s="281">
        <f>G610</f>
        <v>12.69</v>
      </c>
    </row>
    <row r="611" spans="1:13" x14ac:dyDescent="0.2">
      <c r="A611" s="231"/>
      <c r="B611" s="9"/>
      <c r="C611" s="7"/>
      <c r="D611" s="17"/>
      <c r="E611" s="218"/>
      <c r="F611" s="218"/>
      <c r="G611" s="218"/>
      <c r="H611" s="218"/>
      <c r="I611" s="218"/>
      <c r="J611" s="218"/>
      <c r="K611" s="218"/>
      <c r="L611" s="218"/>
      <c r="M611" s="277"/>
    </row>
    <row r="612" spans="1:13" x14ac:dyDescent="0.2">
      <c r="A612" s="231"/>
      <c r="B612" s="9"/>
      <c r="C612" s="7"/>
      <c r="D612" s="17"/>
      <c r="E612" s="218"/>
      <c r="F612" s="218"/>
      <c r="G612" s="218"/>
      <c r="H612" s="218"/>
      <c r="I612" s="218"/>
      <c r="J612" s="218"/>
      <c r="K612" s="218"/>
      <c r="L612" s="218"/>
      <c r="M612" s="277"/>
    </row>
    <row r="613" spans="1:13" ht="36" x14ac:dyDescent="0.2">
      <c r="A613" s="231" t="s">
        <v>432</v>
      </c>
      <c r="B613" s="9" t="s">
        <v>358</v>
      </c>
      <c r="C613" s="7" t="s">
        <v>433</v>
      </c>
      <c r="D613" s="17" t="s">
        <v>45</v>
      </c>
      <c r="E613" s="218"/>
      <c r="F613" s="218"/>
      <c r="G613" s="218"/>
      <c r="H613" s="218"/>
      <c r="I613" s="218"/>
      <c r="J613" s="218"/>
      <c r="K613" s="218"/>
      <c r="L613" s="218"/>
      <c r="M613" s="272">
        <f>SUM(M615:M617)</f>
        <v>35.5</v>
      </c>
    </row>
    <row r="614" spans="1:13" x14ac:dyDescent="0.2">
      <c r="A614" s="287"/>
      <c r="B614" s="9"/>
      <c r="C614" s="7" t="s">
        <v>151</v>
      </c>
      <c r="D614" s="17"/>
      <c r="E614" s="218"/>
      <c r="F614" s="218"/>
      <c r="G614" s="218"/>
      <c r="H614" s="218"/>
      <c r="I614" s="218"/>
      <c r="J614" s="218"/>
      <c r="K614" s="218"/>
      <c r="L614" s="218"/>
      <c r="M614" s="277"/>
    </row>
    <row r="615" spans="1:13" x14ac:dyDescent="0.2">
      <c r="A615" s="288"/>
      <c r="B615" s="9"/>
      <c r="C615" s="7" t="s">
        <v>158</v>
      </c>
      <c r="D615" s="17"/>
      <c r="E615" s="218"/>
      <c r="F615" s="218"/>
      <c r="G615" s="218">
        <v>17.21</v>
      </c>
      <c r="H615" s="218"/>
      <c r="I615" s="218"/>
      <c r="J615" s="218"/>
      <c r="K615" s="218"/>
      <c r="L615" s="218"/>
      <c r="M615" s="281">
        <f>G615</f>
        <v>17.21</v>
      </c>
    </row>
    <row r="616" spans="1:13" x14ac:dyDescent="0.2">
      <c r="A616" s="231"/>
      <c r="B616" s="9"/>
      <c r="C616" s="7" t="s">
        <v>159</v>
      </c>
      <c r="D616" s="17"/>
      <c r="E616" s="218"/>
      <c r="F616" s="218"/>
      <c r="G616" s="218">
        <v>14.69</v>
      </c>
      <c r="H616" s="218"/>
      <c r="I616" s="218"/>
      <c r="J616" s="218"/>
      <c r="K616" s="218"/>
      <c r="L616" s="218"/>
      <c r="M616" s="281">
        <f>G616</f>
        <v>14.69</v>
      </c>
    </row>
    <row r="617" spans="1:13" x14ac:dyDescent="0.2">
      <c r="A617" s="231"/>
      <c r="B617" s="9"/>
      <c r="C617" s="7" t="s">
        <v>160</v>
      </c>
      <c r="D617" s="17"/>
      <c r="E617" s="218"/>
      <c r="F617" s="218"/>
      <c r="G617" s="218">
        <v>3.6</v>
      </c>
      <c r="H617" s="218"/>
      <c r="I617" s="218"/>
      <c r="J617" s="218"/>
      <c r="K617" s="218"/>
      <c r="L617" s="218"/>
      <c r="M617" s="281">
        <f>G617</f>
        <v>3.6</v>
      </c>
    </row>
    <row r="618" spans="1:13" x14ac:dyDescent="0.2">
      <c r="A618" s="231"/>
      <c r="B618" s="9"/>
      <c r="C618" s="7"/>
      <c r="D618" s="17"/>
      <c r="E618" s="218"/>
      <c r="F618" s="218"/>
      <c r="G618" s="218"/>
      <c r="H618" s="218"/>
      <c r="I618" s="218"/>
      <c r="J618" s="218"/>
      <c r="K618" s="218"/>
      <c r="L618" s="218"/>
      <c r="M618" s="281"/>
    </row>
    <row r="619" spans="1:13" x14ac:dyDescent="0.2">
      <c r="A619" s="231"/>
      <c r="B619" s="9"/>
      <c r="C619" s="7"/>
      <c r="D619" s="17"/>
      <c r="E619" s="218"/>
      <c r="F619" s="218"/>
      <c r="G619" s="218"/>
      <c r="H619" s="218"/>
      <c r="I619" s="218"/>
      <c r="J619" s="218"/>
      <c r="K619" s="218"/>
      <c r="L619" s="218"/>
      <c r="M619" s="281"/>
    </row>
    <row r="620" spans="1:13" ht="36" x14ac:dyDescent="0.2">
      <c r="A620" s="231" t="s">
        <v>728</v>
      </c>
      <c r="B620" s="9" t="s">
        <v>707</v>
      </c>
      <c r="C620" s="7" t="s">
        <v>729</v>
      </c>
      <c r="D620" s="17" t="s">
        <v>45</v>
      </c>
      <c r="E620" s="218"/>
      <c r="F620" s="218"/>
      <c r="G620" s="218"/>
      <c r="H620" s="218"/>
      <c r="I620" s="218"/>
      <c r="J620" s="218"/>
      <c r="K620" s="218"/>
      <c r="L620" s="218"/>
      <c r="M620" s="272">
        <f>SUM(M621,M624,M627,M630)</f>
        <v>46.8</v>
      </c>
    </row>
    <row r="621" spans="1:13" x14ac:dyDescent="0.2">
      <c r="A621" s="287"/>
      <c r="B621" s="9"/>
      <c r="C621" s="7" t="s">
        <v>721</v>
      </c>
      <c r="D621" s="17"/>
      <c r="E621" s="218"/>
      <c r="F621" s="218"/>
      <c r="G621" s="218"/>
      <c r="H621" s="218"/>
      <c r="I621" s="218"/>
      <c r="J621" s="218"/>
      <c r="K621" s="218"/>
      <c r="L621" s="218"/>
      <c r="M621" s="277">
        <f>SUM(M622)</f>
        <v>18.100000000000001</v>
      </c>
    </row>
    <row r="622" spans="1:13" x14ac:dyDescent="0.2">
      <c r="A622" s="288"/>
      <c r="B622" s="9"/>
      <c r="C622" s="7" t="s">
        <v>720</v>
      </c>
      <c r="D622" s="17"/>
      <c r="E622" s="218"/>
      <c r="F622" s="218"/>
      <c r="G622" s="218">
        <v>18.100000000000001</v>
      </c>
      <c r="H622" s="218"/>
      <c r="I622" s="218"/>
      <c r="J622" s="218"/>
      <c r="K622" s="218"/>
      <c r="L622" s="218"/>
      <c r="M622" s="281">
        <f>G622</f>
        <v>18.100000000000001</v>
      </c>
    </row>
    <row r="623" spans="1:13" x14ac:dyDescent="0.2">
      <c r="A623" s="231"/>
      <c r="B623" s="9"/>
      <c r="C623" s="7"/>
      <c r="D623" s="17"/>
      <c r="E623" s="218"/>
      <c r="F623" s="218"/>
      <c r="G623" s="218"/>
      <c r="H623" s="218"/>
      <c r="I623" s="218"/>
      <c r="J623" s="218"/>
      <c r="K623" s="218"/>
      <c r="L623" s="218"/>
      <c r="M623" s="281"/>
    </row>
    <row r="624" spans="1:13" x14ac:dyDescent="0.2">
      <c r="A624" s="231"/>
      <c r="B624" s="9"/>
      <c r="C624" s="7" t="s">
        <v>436</v>
      </c>
      <c r="D624" s="17"/>
      <c r="E624" s="218"/>
      <c r="F624" s="218"/>
      <c r="G624" s="218"/>
      <c r="H624" s="218"/>
      <c r="I624" s="218"/>
      <c r="J624" s="218"/>
      <c r="K624" s="218"/>
      <c r="L624" s="218"/>
      <c r="M624" s="277">
        <f>SUM(M625)</f>
        <v>3.2</v>
      </c>
    </row>
    <row r="625" spans="1:13" x14ac:dyDescent="0.2">
      <c r="A625" s="231"/>
      <c r="B625" s="9"/>
      <c r="C625" s="7" t="s">
        <v>389</v>
      </c>
      <c r="D625" s="17"/>
      <c r="E625" s="218"/>
      <c r="F625" s="218"/>
      <c r="G625" s="218">
        <v>3.2</v>
      </c>
      <c r="H625" s="218"/>
      <c r="I625" s="218"/>
      <c r="J625" s="218"/>
      <c r="K625" s="218"/>
      <c r="L625" s="218"/>
      <c r="M625" s="281">
        <f>G625</f>
        <v>3.2</v>
      </c>
    </row>
    <row r="626" spans="1:13" x14ac:dyDescent="0.2">
      <c r="A626" s="231"/>
      <c r="B626" s="9"/>
      <c r="C626" s="7"/>
      <c r="D626" s="17"/>
      <c r="E626" s="218"/>
      <c r="F626" s="218"/>
      <c r="G626" s="218"/>
      <c r="H626" s="218"/>
      <c r="I626" s="218"/>
      <c r="J626" s="218"/>
      <c r="K626" s="218"/>
      <c r="L626" s="218"/>
      <c r="M626" s="281"/>
    </row>
    <row r="627" spans="1:13" x14ac:dyDescent="0.2">
      <c r="A627" s="231"/>
      <c r="B627" s="9"/>
      <c r="C627" s="7" t="s">
        <v>439</v>
      </c>
      <c r="D627" s="17"/>
      <c r="E627" s="218"/>
      <c r="F627" s="218"/>
      <c r="G627" s="218"/>
      <c r="H627" s="218"/>
      <c r="I627" s="218"/>
      <c r="J627" s="218"/>
      <c r="K627" s="218"/>
      <c r="L627" s="218"/>
      <c r="M627" s="277">
        <f>SUM(M628)</f>
        <v>13</v>
      </c>
    </row>
    <row r="628" spans="1:13" x14ac:dyDescent="0.2">
      <c r="A628" s="231"/>
      <c r="B628" s="9"/>
      <c r="C628" s="7" t="s">
        <v>203</v>
      </c>
      <c r="D628" s="17"/>
      <c r="E628" s="218"/>
      <c r="F628" s="218"/>
      <c r="G628" s="218">
        <v>13</v>
      </c>
      <c r="H628" s="218"/>
      <c r="I628" s="218"/>
      <c r="J628" s="218"/>
      <c r="K628" s="218"/>
      <c r="L628" s="218"/>
      <c r="M628" s="281">
        <f>G628</f>
        <v>13</v>
      </c>
    </row>
    <row r="629" spans="1:13" x14ac:dyDescent="0.2">
      <c r="A629" s="231"/>
      <c r="B629" s="9"/>
      <c r="C629" s="7"/>
      <c r="D629" s="17"/>
      <c r="E629" s="218"/>
      <c r="F629" s="218"/>
      <c r="G629" s="218"/>
      <c r="H629" s="218"/>
      <c r="I629" s="218"/>
      <c r="J629" s="218"/>
      <c r="K629" s="218"/>
      <c r="L629" s="218"/>
      <c r="M629" s="281"/>
    </row>
    <row r="630" spans="1:13" x14ac:dyDescent="0.2">
      <c r="A630" s="231"/>
      <c r="B630" s="9"/>
      <c r="C630" s="7" t="s">
        <v>440</v>
      </c>
      <c r="D630" s="17"/>
      <c r="E630" s="218"/>
      <c r="F630" s="218"/>
      <c r="G630" s="218"/>
      <c r="H630" s="218"/>
      <c r="I630" s="218"/>
      <c r="J630" s="218"/>
      <c r="K630" s="218"/>
      <c r="L630" s="218"/>
      <c r="M630" s="277">
        <f>SUM(M631:M632)</f>
        <v>12.5</v>
      </c>
    </row>
    <row r="631" spans="1:13" x14ac:dyDescent="0.2">
      <c r="A631" s="231"/>
      <c r="B631" s="9"/>
      <c r="C631" s="7" t="s">
        <v>727</v>
      </c>
      <c r="D631" s="17"/>
      <c r="E631" s="218"/>
      <c r="F631" s="218"/>
      <c r="G631" s="218">
        <v>5</v>
      </c>
      <c r="H631" s="218"/>
      <c r="I631" s="218"/>
      <c r="J631" s="218"/>
      <c r="K631" s="218"/>
      <c r="L631" s="218"/>
      <c r="M631" s="281">
        <f>G631</f>
        <v>5</v>
      </c>
    </row>
    <row r="632" spans="1:13" x14ac:dyDescent="0.2">
      <c r="A632" s="231"/>
      <c r="B632" s="9"/>
      <c r="C632" s="7" t="s">
        <v>722</v>
      </c>
      <c r="D632" s="17"/>
      <c r="E632" s="218"/>
      <c r="F632" s="218"/>
      <c r="G632" s="218">
        <v>7.5</v>
      </c>
      <c r="H632" s="218"/>
      <c r="I632" s="218"/>
      <c r="J632" s="218"/>
      <c r="K632" s="218"/>
      <c r="L632" s="218"/>
      <c r="M632" s="281">
        <f>G632</f>
        <v>7.5</v>
      </c>
    </row>
    <row r="633" spans="1:13" x14ac:dyDescent="0.2">
      <c r="A633" s="231"/>
      <c r="B633" s="9"/>
      <c r="C633" s="7"/>
      <c r="D633" s="17"/>
      <c r="E633" s="218"/>
      <c r="F633" s="218"/>
      <c r="G633" s="218"/>
      <c r="H633" s="218"/>
      <c r="I633" s="218"/>
      <c r="J633" s="218"/>
      <c r="K633" s="218"/>
      <c r="L633" s="218"/>
      <c r="M633" s="281"/>
    </row>
    <row r="634" spans="1:13" x14ac:dyDescent="0.2">
      <c r="A634" s="231"/>
      <c r="B634" s="9"/>
      <c r="C634" s="7"/>
      <c r="D634" s="17"/>
      <c r="E634" s="218"/>
      <c r="F634" s="218"/>
      <c r="G634" s="218"/>
      <c r="H634" s="218"/>
      <c r="I634" s="218"/>
      <c r="J634" s="218"/>
      <c r="K634" s="218"/>
      <c r="L634" s="218"/>
      <c r="M634" s="273"/>
    </row>
    <row r="635" spans="1:13" ht="48" x14ac:dyDescent="0.2">
      <c r="A635" s="231" t="s">
        <v>99</v>
      </c>
      <c r="B635" s="9" t="s">
        <v>359</v>
      </c>
      <c r="C635" s="7" t="s">
        <v>100</v>
      </c>
      <c r="D635" s="17" t="s">
        <v>45</v>
      </c>
      <c r="E635" s="218"/>
      <c r="F635" s="218"/>
      <c r="G635" s="218"/>
      <c r="H635" s="218"/>
      <c r="I635" s="218"/>
      <c r="J635" s="218"/>
      <c r="K635" s="218"/>
      <c r="L635" s="218"/>
      <c r="M635" s="272">
        <f>SUM(M636,M639,M642,M645)</f>
        <v>62.7</v>
      </c>
    </row>
    <row r="636" spans="1:13" x14ac:dyDescent="0.2">
      <c r="A636" s="231"/>
      <c r="B636" s="9"/>
      <c r="C636" s="7" t="s">
        <v>150</v>
      </c>
      <c r="D636" s="17"/>
      <c r="E636" s="218"/>
      <c r="F636" s="218"/>
      <c r="G636" s="218"/>
      <c r="H636" s="218"/>
      <c r="I636" s="218"/>
      <c r="J636" s="218"/>
      <c r="K636" s="218"/>
      <c r="L636" s="218"/>
      <c r="M636" s="277">
        <f>SUM(M637)</f>
        <v>7.3</v>
      </c>
    </row>
    <row r="637" spans="1:13" x14ac:dyDescent="0.2">
      <c r="A637" s="231"/>
      <c r="B637" s="9"/>
      <c r="C637" s="7" t="s">
        <v>698</v>
      </c>
      <c r="D637" s="17"/>
      <c r="E637" s="218"/>
      <c r="F637" s="218"/>
      <c r="G637" s="218">
        <v>7.3</v>
      </c>
      <c r="H637" s="218"/>
      <c r="I637" s="218"/>
      <c r="J637" s="218"/>
      <c r="K637" s="218"/>
      <c r="L637" s="218"/>
      <c r="M637" s="281">
        <f>G637</f>
        <v>7.3</v>
      </c>
    </row>
    <row r="638" spans="1:13" x14ac:dyDescent="0.2">
      <c r="A638" s="231"/>
      <c r="B638" s="9"/>
      <c r="C638" s="7"/>
      <c r="D638" s="17"/>
      <c r="E638" s="218"/>
      <c r="F638" s="218"/>
      <c r="G638" s="218"/>
      <c r="H638" s="218"/>
      <c r="I638" s="218"/>
      <c r="J638" s="218"/>
      <c r="K638" s="218"/>
      <c r="L638" s="218"/>
      <c r="M638" s="277"/>
    </row>
    <row r="639" spans="1:13" x14ac:dyDescent="0.2">
      <c r="A639" s="231"/>
      <c r="B639" s="9"/>
      <c r="C639" s="7" t="s">
        <v>151</v>
      </c>
      <c r="D639" s="17"/>
      <c r="E639" s="218"/>
      <c r="F639" s="218"/>
      <c r="G639" s="218"/>
      <c r="H639" s="218"/>
      <c r="I639" s="218"/>
      <c r="J639" s="218"/>
      <c r="K639" s="218"/>
      <c r="L639" s="218"/>
      <c r="M639" s="277">
        <f>SUM(M640)</f>
        <v>14.25</v>
      </c>
    </row>
    <row r="640" spans="1:13" ht="24" x14ac:dyDescent="0.2">
      <c r="A640" s="231"/>
      <c r="B640" s="9"/>
      <c r="C640" s="7" t="s">
        <v>699</v>
      </c>
      <c r="D640" s="17"/>
      <c r="E640" s="218"/>
      <c r="F640" s="218"/>
      <c r="G640" s="218">
        <v>14.25</v>
      </c>
      <c r="H640" s="218"/>
      <c r="I640" s="218"/>
      <c r="J640" s="218"/>
      <c r="K640" s="218"/>
      <c r="L640" s="218"/>
      <c r="M640" s="281">
        <f>G640</f>
        <v>14.25</v>
      </c>
    </row>
    <row r="641" spans="1:13" x14ac:dyDescent="0.2">
      <c r="A641" s="231"/>
      <c r="B641" s="9"/>
      <c r="C641" s="7"/>
      <c r="D641" s="17"/>
      <c r="E641" s="218"/>
      <c r="F641" s="218"/>
      <c r="G641" s="218"/>
      <c r="H641" s="218"/>
      <c r="I641" s="218"/>
      <c r="J641" s="218"/>
      <c r="K641" s="218"/>
      <c r="L641" s="218"/>
      <c r="M641" s="277"/>
    </row>
    <row r="642" spans="1:13" x14ac:dyDescent="0.2">
      <c r="A642" s="231"/>
      <c r="B642" s="9"/>
      <c r="C642" s="7" t="s">
        <v>179</v>
      </c>
      <c r="D642" s="17"/>
      <c r="E642" s="218"/>
      <c r="F642" s="218"/>
      <c r="G642" s="218"/>
      <c r="H642" s="218"/>
      <c r="I642" s="218"/>
      <c r="J642" s="218"/>
      <c r="K642" s="218"/>
      <c r="L642" s="218"/>
      <c r="M642" s="277">
        <f>SUM(M643)</f>
        <v>19.7</v>
      </c>
    </row>
    <row r="643" spans="1:13" ht="24" x14ac:dyDescent="0.2">
      <c r="A643" s="231"/>
      <c r="B643" s="9"/>
      <c r="C643" s="7" t="s">
        <v>700</v>
      </c>
      <c r="D643" s="17"/>
      <c r="E643" s="218"/>
      <c r="F643" s="218"/>
      <c r="G643" s="218">
        <v>19.7</v>
      </c>
      <c r="H643" s="218"/>
      <c r="I643" s="218"/>
      <c r="J643" s="218"/>
      <c r="K643" s="218"/>
      <c r="L643" s="218"/>
      <c r="M643" s="281">
        <f>G643</f>
        <v>19.7</v>
      </c>
    </row>
    <row r="644" spans="1:13" x14ac:dyDescent="0.2">
      <c r="A644" s="231"/>
      <c r="B644" s="9"/>
      <c r="C644" s="7"/>
      <c r="D644" s="17"/>
      <c r="E644" s="218"/>
      <c r="F644" s="218"/>
      <c r="G644" s="218"/>
      <c r="H644" s="218"/>
      <c r="I644" s="218"/>
      <c r="J644" s="218"/>
      <c r="K644" s="218"/>
      <c r="L644" s="218"/>
      <c r="M644" s="277"/>
    </row>
    <row r="645" spans="1:13" x14ac:dyDescent="0.2">
      <c r="A645" s="231"/>
      <c r="B645" s="9"/>
      <c r="C645" s="7" t="s">
        <v>152</v>
      </c>
      <c r="D645" s="17"/>
      <c r="E645" s="218"/>
      <c r="F645" s="218"/>
      <c r="G645" s="218"/>
      <c r="H645" s="218"/>
      <c r="I645" s="218"/>
      <c r="J645" s="218"/>
      <c r="K645" s="218"/>
      <c r="L645" s="218"/>
      <c r="M645" s="277">
        <f>SUM(M646)</f>
        <v>21.45</v>
      </c>
    </row>
    <row r="646" spans="1:13" ht="36" x14ac:dyDescent="0.2">
      <c r="A646" s="231"/>
      <c r="B646" s="9"/>
      <c r="C646" s="7" t="s">
        <v>701</v>
      </c>
      <c r="D646" s="17"/>
      <c r="E646" s="218"/>
      <c r="F646" s="218"/>
      <c r="G646" s="218">
        <v>21.45</v>
      </c>
      <c r="H646" s="218"/>
      <c r="I646" s="218"/>
      <c r="J646" s="218"/>
      <c r="K646" s="218"/>
      <c r="L646" s="218"/>
      <c r="M646" s="281">
        <f>G646</f>
        <v>21.45</v>
      </c>
    </row>
    <row r="647" spans="1:13" x14ac:dyDescent="0.2">
      <c r="A647" s="231"/>
      <c r="B647" s="9"/>
      <c r="C647" s="7"/>
      <c r="D647" s="17"/>
      <c r="E647" s="218"/>
      <c r="F647" s="218"/>
      <c r="G647" s="218"/>
      <c r="H647" s="218"/>
      <c r="I647" s="218"/>
      <c r="J647" s="218"/>
      <c r="K647" s="218"/>
      <c r="L647" s="218"/>
      <c r="M647" s="277"/>
    </row>
    <row r="648" spans="1:13" x14ac:dyDescent="0.2">
      <c r="A648" s="231"/>
      <c r="B648" s="9"/>
      <c r="C648" s="7"/>
      <c r="D648" s="17"/>
      <c r="E648" s="218"/>
      <c r="F648" s="218"/>
      <c r="G648" s="218"/>
      <c r="H648" s="218"/>
      <c r="I648" s="218"/>
      <c r="J648" s="218"/>
      <c r="K648" s="218"/>
      <c r="L648" s="218"/>
      <c r="M648" s="277"/>
    </row>
    <row r="649" spans="1:13" ht="48" x14ac:dyDescent="0.2">
      <c r="A649" s="231" t="s">
        <v>101</v>
      </c>
      <c r="B649" s="9" t="s">
        <v>360</v>
      </c>
      <c r="C649" s="7" t="s">
        <v>102</v>
      </c>
      <c r="D649" s="17" t="s">
        <v>45</v>
      </c>
      <c r="E649" s="218"/>
      <c r="F649" s="218"/>
      <c r="G649" s="218"/>
      <c r="H649" s="218"/>
      <c r="I649" s="218"/>
      <c r="J649" s="218"/>
      <c r="K649" s="218"/>
      <c r="L649" s="218"/>
      <c r="M649" s="272">
        <f>SUM(M651:M660)</f>
        <v>25.750000000000004</v>
      </c>
    </row>
    <row r="650" spans="1:13" x14ac:dyDescent="0.2">
      <c r="A650" s="231"/>
      <c r="B650" s="9"/>
      <c r="C650" s="7" t="s">
        <v>150</v>
      </c>
      <c r="D650" s="8"/>
      <c r="E650" s="218"/>
      <c r="F650" s="218"/>
      <c r="G650" s="218"/>
      <c r="H650" s="218"/>
      <c r="I650" s="218"/>
      <c r="J650" s="218"/>
      <c r="K650" s="218"/>
      <c r="L650" s="218"/>
      <c r="M650" s="273"/>
    </row>
    <row r="651" spans="1:13" x14ac:dyDescent="0.2">
      <c r="A651" s="231"/>
      <c r="B651" s="9"/>
      <c r="C651" s="7" t="s">
        <v>425</v>
      </c>
      <c r="D651" s="8"/>
      <c r="E651" s="218"/>
      <c r="F651" s="218"/>
      <c r="G651" s="218">
        <v>19.850000000000001</v>
      </c>
      <c r="H651" s="218"/>
      <c r="I651" s="218"/>
      <c r="J651" s="218"/>
      <c r="K651" s="218"/>
      <c r="L651" s="218"/>
      <c r="M651" s="273">
        <f>G651</f>
        <v>19.850000000000001</v>
      </c>
    </row>
    <row r="652" spans="1:13" x14ac:dyDescent="0.2">
      <c r="A652" s="231"/>
      <c r="B652" s="9"/>
      <c r="C652" s="7"/>
      <c r="D652" s="8"/>
      <c r="E652" s="218"/>
      <c r="F652" s="218"/>
      <c r="G652" s="218"/>
      <c r="H652" s="218"/>
      <c r="I652" s="218"/>
      <c r="J652" s="218"/>
      <c r="K652" s="218"/>
      <c r="L652" s="218"/>
      <c r="M652" s="273"/>
    </row>
    <row r="653" spans="1:13" x14ac:dyDescent="0.2">
      <c r="A653" s="231"/>
      <c r="B653" s="9"/>
      <c r="C653" s="7" t="s">
        <v>151</v>
      </c>
      <c r="D653" s="8"/>
      <c r="E653" s="218"/>
      <c r="F653" s="218"/>
      <c r="G653" s="218"/>
      <c r="H653" s="218"/>
      <c r="I653" s="218"/>
      <c r="J653" s="218"/>
      <c r="K653" s="218"/>
      <c r="L653" s="218"/>
      <c r="M653" s="273"/>
    </row>
    <row r="654" spans="1:13" x14ac:dyDescent="0.2">
      <c r="A654" s="231"/>
      <c r="B654" s="9"/>
      <c r="C654" s="7" t="s">
        <v>426</v>
      </c>
      <c r="D654" s="8"/>
      <c r="E654" s="218"/>
      <c r="F654" s="218">
        <v>1.8</v>
      </c>
      <c r="G654" s="218"/>
      <c r="H654" s="218"/>
      <c r="I654" s="218"/>
      <c r="J654" s="218"/>
      <c r="K654" s="218"/>
      <c r="L654" s="218"/>
      <c r="M654" s="273">
        <f>F654</f>
        <v>1.8</v>
      </c>
    </row>
    <row r="655" spans="1:13" x14ac:dyDescent="0.2">
      <c r="A655" s="231"/>
      <c r="B655" s="9"/>
      <c r="C655" s="7" t="s">
        <v>427</v>
      </c>
      <c r="D655" s="8"/>
      <c r="E655" s="218"/>
      <c r="F655" s="218">
        <v>1.5</v>
      </c>
      <c r="G655" s="218"/>
      <c r="H655" s="218"/>
      <c r="I655" s="218"/>
      <c r="J655" s="218"/>
      <c r="K655" s="218"/>
      <c r="L655" s="218"/>
      <c r="M655" s="273">
        <f t="shared" ref="M655:M660" si="4">F655</f>
        <v>1.5</v>
      </c>
    </row>
    <row r="656" spans="1:13" x14ac:dyDescent="0.2">
      <c r="A656" s="231"/>
      <c r="B656" s="9"/>
      <c r="C656" s="7" t="s">
        <v>428</v>
      </c>
      <c r="D656" s="8"/>
      <c r="E656" s="218"/>
      <c r="F656" s="218">
        <v>1</v>
      </c>
      <c r="G656" s="218"/>
      <c r="H656" s="218"/>
      <c r="I656" s="218"/>
      <c r="J656" s="218"/>
      <c r="K656" s="218"/>
      <c r="L656" s="218"/>
      <c r="M656" s="273">
        <f t="shared" si="4"/>
        <v>1</v>
      </c>
    </row>
    <row r="657" spans="1:13" x14ac:dyDescent="0.2">
      <c r="A657" s="231"/>
      <c r="B657" s="9"/>
      <c r="C657" s="7" t="s">
        <v>429</v>
      </c>
      <c r="D657" s="8"/>
      <c r="E657" s="218"/>
      <c r="F657" s="218">
        <v>0.6</v>
      </c>
      <c r="G657" s="218"/>
      <c r="H657" s="218"/>
      <c r="I657" s="218"/>
      <c r="J657" s="218"/>
      <c r="K657" s="218"/>
      <c r="L657" s="218"/>
      <c r="M657" s="273">
        <f t="shared" si="4"/>
        <v>0.6</v>
      </c>
    </row>
    <row r="658" spans="1:13" x14ac:dyDescent="0.2">
      <c r="A658" s="231"/>
      <c r="B658" s="9"/>
      <c r="C658" s="7"/>
      <c r="D658" s="8"/>
      <c r="E658" s="218"/>
      <c r="F658" s="218"/>
      <c r="G658" s="218"/>
      <c r="H658" s="218"/>
      <c r="I658" s="218"/>
      <c r="J658" s="218"/>
      <c r="K658" s="218"/>
      <c r="L658" s="218"/>
      <c r="M658" s="273"/>
    </row>
    <row r="659" spans="1:13" x14ac:dyDescent="0.2">
      <c r="A659" s="231"/>
      <c r="B659" s="9"/>
      <c r="C659" s="7" t="s">
        <v>152</v>
      </c>
      <c r="D659" s="8"/>
      <c r="E659" s="218"/>
      <c r="F659" s="218"/>
      <c r="G659" s="218"/>
      <c r="H659" s="218"/>
      <c r="I659" s="218"/>
      <c r="J659" s="218"/>
      <c r="K659" s="218"/>
      <c r="L659" s="218"/>
      <c r="M659" s="273"/>
    </row>
    <row r="660" spans="1:13" x14ac:dyDescent="0.2">
      <c r="A660" s="231"/>
      <c r="B660" s="9"/>
      <c r="C660" s="7" t="s">
        <v>398</v>
      </c>
      <c r="D660" s="8"/>
      <c r="E660" s="218"/>
      <c r="F660" s="218">
        <v>1</v>
      </c>
      <c r="G660" s="218"/>
      <c r="H660" s="218"/>
      <c r="I660" s="218"/>
      <c r="J660" s="218"/>
      <c r="K660" s="218"/>
      <c r="L660" s="218"/>
      <c r="M660" s="273">
        <f t="shared" si="4"/>
        <v>1</v>
      </c>
    </row>
    <row r="661" spans="1:13" x14ac:dyDescent="0.2">
      <c r="A661" s="236"/>
      <c r="B661" s="344"/>
      <c r="C661" s="345"/>
      <c r="D661" s="346"/>
      <c r="E661" s="347"/>
      <c r="F661" s="347"/>
      <c r="G661" s="347"/>
      <c r="H661" s="347"/>
      <c r="I661" s="347"/>
      <c r="J661" s="347"/>
      <c r="K661" s="347"/>
      <c r="L661" s="347"/>
      <c r="M661" s="342"/>
    </row>
    <row r="662" spans="1:13" ht="60" x14ac:dyDescent="0.2">
      <c r="A662" s="231" t="s">
        <v>442</v>
      </c>
      <c r="B662" s="9" t="s">
        <v>361</v>
      </c>
      <c r="C662" s="7" t="s">
        <v>443</v>
      </c>
      <c r="D662" s="17" t="s">
        <v>17</v>
      </c>
      <c r="E662" s="218"/>
      <c r="F662" s="218"/>
      <c r="G662" s="218"/>
      <c r="H662" s="218"/>
      <c r="I662" s="218"/>
      <c r="J662" s="218"/>
      <c r="K662" s="218"/>
      <c r="L662" s="218"/>
      <c r="M662" s="341">
        <f>SUM(M663:M664)</f>
        <v>31</v>
      </c>
    </row>
    <row r="663" spans="1:13" x14ac:dyDescent="0.2">
      <c r="A663" s="231"/>
      <c r="B663" s="9"/>
      <c r="C663" s="7" t="s">
        <v>445</v>
      </c>
      <c r="D663" s="8"/>
      <c r="E663" s="218"/>
      <c r="F663" s="218"/>
      <c r="G663" s="218"/>
      <c r="H663" s="218"/>
      <c r="I663" s="218"/>
      <c r="J663" s="218">
        <v>31</v>
      </c>
      <c r="K663" s="218"/>
      <c r="L663" s="218"/>
      <c r="M663" s="273">
        <f>J663</f>
        <v>31</v>
      </c>
    </row>
    <row r="664" spans="1:13" x14ac:dyDescent="0.2">
      <c r="A664" s="231"/>
      <c r="B664" s="9"/>
      <c r="C664" s="7"/>
      <c r="D664" s="8"/>
      <c r="E664" s="218"/>
      <c r="F664" s="218"/>
      <c r="G664" s="218"/>
      <c r="H664" s="218"/>
      <c r="I664" s="218"/>
      <c r="J664" s="218"/>
      <c r="K664" s="218"/>
      <c r="L664" s="218"/>
      <c r="M664" s="273"/>
    </row>
    <row r="665" spans="1:13" x14ac:dyDescent="0.2">
      <c r="A665" s="231"/>
      <c r="B665" s="9"/>
      <c r="C665" s="7"/>
      <c r="D665" s="8"/>
      <c r="E665" s="218"/>
      <c r="F665" s="218"/>
      <c r="G665" s="218"/>
      <c r="H665" s="218"/>
      <c r="I665" s="218"/>
      <c r="J665" s="218"/>
      <c r="K665" s="218"/>
      <c r="L665" s="218"/>
      <c r="M665" s="273"/>
    </row>
    <row r="666" spans="1:13" ht="48" x14ac:dyDescent="0.2">
      <c r="A666" s="231" t="s">
        <v>446</v>
      </c>
      <c r="B666" s="9" t="s">
        <v>434</v>
      </c>
      <c r="C666" s="7" t="s">
        <v>447</v>
      </c>
      <c r="D666" s="17" t="s">
        <v>17</v>
      </c>
      <c r="E666" s="218"/>
      <c r="F666" s="218"/>
      <c r="G666" s="218"/>
      <c r="H666" s="218"/>
      <c r="I666" s="218"/>
      <c r="J666" s="218"/>
      <c r="K666" s="218"/>
      <c r="L666" s="218"/>
      <c r="M666" s="272">
        <f>SUM(M667:M668)</f>
        <v>6.32</v>
      </c>
    </row>
    <row r="667" spans="1:13" x14ac:dyDescent="0.2">
      <c r="A667" s="231"/>
      <c r="B667" s="9"/>
      <c r="C667" s="7" t="s">
        <v>152</v>
      </c>
      <c r="D667" s="8"/>
      <c r="E667" s="218"/>
      <c r="F667" s="218"/>
      <c r="G667" s="218"/>
      <c r="H667" s="218"/>
      <c r="I667" s="218"/>
      <c r="J667" s="218"/>
      <c r="K667" s="218"/>
      <c r="L667" s="218"/>
      <c r="M667" s="273"/>
    </row>
    <row r="668" spans="1:13" ht="24" x14ac:dyDescent="0.2">
      <c r="A668" s="231"/>
      <c r="B668" s="9"/>
      <c r="C668" s="7" t="s">
        <v>449</v>
      </c>
      <c r="D668" s="8"/>
      <c r="E668" s="218"/>
      <c r="F668" s="218"/>
      <c r="G668" s="218"/>
      <c r="H668" s="218"/>
      <c r="I668" s="218"/>
      <c r="J668" s="218">
        <v>6.32</v>
      </c>
      <c r="K668" s="218"/>
      <c r="L668" s="218"/>
      <c r="M668" s="273">
        <f>J668</f>
        <v>6.32</v>
      </c>
    </row>
    <row r="669" spans="1:13" x14ac:dyDescent="0.2">
      <c r="A669" s="231"/>
      <c r="B669" s="9"/>
      <c r="C669" s="7"/>
      <c r="D669" s="8"/>
      <c r="E669" s="218"/>
      <c r="F669" s="218"/>
      <c r="G669" s="218"/>
      <c r="H669" s="218"/>
      <c r="I669" s="218"/>
      <c r="J669" s="218"/>
      <c r="K669" s="218"/>
      <c r="L669" s="218"/>
      <c r="M669" s="273"/>
    </row>
    <row r="670" spans="1:13" ht="60" x14ac:dyDescent="0.2">
      <c r="A670" s="231">
        <v>87266</v>
      </c>
      <c r="B670" s="9" t="s">
        <v>435</v>
      </c>
      <c r="C670" s="7" t="s">
        <v>719</v>
      </c>
      <c r="D670" s="17" t="s">
        <v>17</v>
      </c>
      <c r="E670" s="218"/>
      <c r="F670" s="218"/>
      <c r="G670" s="218"/>
      <c r="H670" s="218"/>
      <c r="I670" s="218"/>
      <c r="J670" s="218"/>
      <c r="K670" s="218"/>
      <c r="L670" s="218"/>
      <c r="M670" s="272">
        <f>SUM(M671,M678,M683)</f>
        <v>14.5276</v>
      </c>
    </row>
    <row r="671" spans="1:13" x14ac:dyDescent="0.2">
      <c r="A671" s="231"/>
      <c r="B671" s="9"/>
      <c r="C671" s="7" t="s">
        <v>150</v>
      </c>
      <c r="D671" s="8"/>
      <c r="E671" s="218"/>
      <c r="F671" s="218"/>
      <c r="G671" s="218"/>
      <c r="H671" s="218"/>
      <c r="I671" s="218"/>
      <c r="J671" s="218"/>
      <c r="K671" s="218"/>
      <c r="L671" s="218"/>
      <c r="M671" s="282">
        <f>SUM(M672)</f>
        <v>6.26</v>
      </c>
    </row>
    <row r="672" spans="1:13" x14ac:dyDescent="0.2">
      <c r="A672" s="231"/>
      <c r="B672" s="9"/>
      <c r="C672" s="7" t="s">
        <v>658</v>
      </c>
      <c r="D672" s="8"/>
      <c r="E672" s="218"/>
      <c r="F672" s="218"/>
      <c r="G672" s="218"/>
      <c r="H672" s="218"/>
      <c r="I672" s="218"/>
      <c r="J672" s="218"/>
      <c r="K672" s="218"/>
      <c r="L672" s="218"/>
      <c r="M672" s="273">
        <f>SUM(M673:M675)</f>
        <v>6.26</v>
      </c>
    </row>
    <row r="673" spans="1:13" x14ac:dyDescent="0.2">
      <c r="A673" s="231"/>
      <c r="B673" s="9"/>
      <c r="C673" s="7"/>
      <c r="D673" s="8"/>
      <c r="E673" s="218"/>
      <c r="F673" s="218">
        <v>2</v>
      </c>
      <c r="G673" s="218"/>
      <c r="H673" s="218"/>
      <c r="I673" s="218">
        <v>1.6</v>
      </c>
      <c r="J673" s="218"/>
      <c r="K673" s="218"/>
      <c r="L673" s="218"/>
      <c r="M673" s="273">
        <f>F673*I673</f>
        <v>3.2</v>
      </c>
    </row>
    <row r="674" spans="1:13" x14ac:dyDescent="0.2">
      <c r="A674" s="231"/>
      <c r="B674" s="9"/>
      <c r="C674" s="7"/>
      <c r="D674" s="8"/>
      <c r="E674" s="218">
        <v>4</v>
      </c>
      <c r="F674" s="218">
        <v>0.6</v>
      </c>
      <c r="G674" s="218"/>
      <c r="H674" s="218"/>
      <c r="I674" s="218">
        <v>0.85</v>
      </c>
      <c r="J674" s="218"/>
      <c r="K674" s="218"/>
      <c r="L674" s="218"/>
      <c r="M674" s="273">
        <f>E674*F674*I674</f>
        <v>2.04</v>
      </c>
    </row>
    <row r="675" spans="1:13" x14ac:dyDescent="0.2">
      <c r="A675" s="231"/>
      <c r="B675" s="9"/>
      <c r="C675" s="7"/>
      <c r="D675" s="8"/>
      <c r="E675" s="218"/>
      <c r="F675" s="218">
        <v>1.7</v>
      </c>
      <c r="G675" s="218"/>
      <c r="H675" s="218"/>
      <c r="I675" s="218">
        <v>0.6</v>
      </c>
      <c r="J675" s="218"/>
      <c r="K675" s="218"/>
      <c r="L675" s="218"/>
      <c r="M675" s="273">
        <f>F675*I675</f>
        <v>1.02</v>
      </c>
    </row>
    <row r="676" spans="1:13" x14ac:dyDescent="0.2">
      <c r="A676" s="231"/>
      <c r="B676" s="9"/>
      <c r="C676" s="7"/>
      <c r="D676" s="8"/>
      <c r="E676" s="218"/>
      <c r="F676" s="218"/>
      <c r="G676" s="218"/>
      <c r="H676" s="218"/>
      <c r="I676" s="218"/>
      <c r="J676" s="218"/>
      <c r="K676" s="218"/>
      <c r="L676" s="218"/>
      <c r="M676" s="273"/>
    </row>
    <row r="677" spans="1:13" x14ac:dyDescent="0.2">
      <c r="A677" s="231"/>
      <c r="B677" s="9"/>
      <c r="C677" s="7" t="s">
        <v>151</v>
      </c>
      <c r="D677" s="8"/>
      <c r="E677" s="218"/>
      <c r="F677" s="218"/>
      <c r="G677" s="218"/>
      <c r="H677" s="218"/>
      <c r="I677" s="218"/>
      <c r="J677" s="218"/>
      <c r="K677" s="218"/>
      <c r="L677" s="218"/>
      <c r="M677" s="273"/>
    </row>
    <row r="678" spans="1:13" x14ac:dyDescent="0.2">
      <c r="A678" s="231"/>
      <c r="B678" s="9"/>
      <c r="C678" s="7" t="s">
        <v>165</v>
      </c>
      <c r="D678" s="8"/>
      <c r="E678" s="218"/>
      <c r="F678" s="218"/>
      <c r="G678" s="218"/>
      <c r="H678" s="218"/>
      <c r="I678" s="218"/>
      <c r="J678" s="218"/>
      <c r="K678" s="218"/>
      <c r="L678" s="218"/>
      <c r="M678" s="282">
        <f>SUM(M679:M681)</f>
        <v>4.2571000000000003</v>
      </c>
    </row>
    <row r="679" spans="1:13" x14ac:dyDescent="0.2">
      <c r="A679" s="231"/>
      <c r="B679" s="9"/>
      <c r="C679" s="7"/>
      <c r="D679" s="8"/>
      <c r="E679" s="218"/>
      <c r="F679" s="218">
        <v>2.1800000000000002</v>
      </c>
      <c r="G679" s="218"/>
      <c r="H679" s="218"/>
      <c r="I679" s="218">
        <v>0.82</v>
      </c>
      <c r="J679" s="218"/>
      <c r="K679" s="218"/>
      <c r="L679" s="218"/>
      <c r="M679" s="273">
        <f>F679*I679</f>
        <v>1.7876000000000001</v>
      </c>
    </row>
    <row r="680" spans="1:13" x14ac:dyDescent="0.2">
      <c r="A680" s="231"/>
      <c r="B680" s="9"/>
      <c r="C680" s="7"/>
      <c r="D680" s="8"/>
      <c r="E680" s="218">
        <v>3</v>
      </c>
      <c r="F680" s="218">
        <v>0.55000000000000004</v>
      </c>
      <c r="G680" s="218"/>
      <c r="H680" s="218"/>
      <c r="I680" s="218">
        <v>0.82</v>
      </c>
      <c r="J680" s="218"/>
      <c r="K680" s="218"/>
      <c r="L680" s="218"/>
      <c r="M680" s="273">
        <f>E680*F680*I680</f>
        <v>1.353</v>
      </c>
    </row>
    <row r="681" spans="1:13" x14ac:dyDescent="0.2">
      <c r="A681" s="231"/>
      <c r="B681" s="9"/>
      <c r="C681" s="7"/>
      <c r="D681" s="8"/>
      <c r="E681" s="218"/>
      <c r="F681" s="218">
        <v>2.0299999999999998</v>
      </c>
      <c r="G681" s="218"/>
      <c r="H681" s="218"/>
      <c r="I681" s="218">
        <v>0.55000000000000004</v>
      </c>
      <c r="J681" s="218"/>
      <c r="K681" s="218"/>
      <c r="L681" s="218"/>
      <c r="M681" s="273">
        <f>F681*I681</f>
        <v>1.1165</v>
      </c>
    </row>
    <row r="682" spans="1:13" x14ac:dyDescent="0.2">
      <c r="A682" s="231"/>
      <c r="B682" s="9"/>
      <c r="C682" s="7"/>
      <c r="D682" s="8"/>
      <c r="E682" s="218"/>
      <c r="F682" s="218"/>
      <c r="G682" s="218"/>
      <c r="H682" s="218"/>
      <c r="I682" s="218"/>
      <c r="J682" s="218"/>
      <c r="K682" s="218"/>
      <c r="L682" s="218"/>
      <c r="M682" s="273"/>
    </row>
    <row r="683" spans="1:13" x14ac:dyDescent="0.2">
      <c r="A683" s="231"/>
      <c r="B683" s="9"/>
      <c r="C683" s="7" t="s">
        <v>152</v>
      </c>
      <c r="D683" s="8"/>
      <c r="E683" s="218"/>
      <c r="F683" s="218"/>
      <c r="G683" s="218"/>
      <c r="H683" s="218"/>
      <c r="I683" s="218"/>
      <c r="J683" s="218"/>
      <c r="K683" s="218"/>
      <c r="L683" s="218"/>
      <c r="M683" s="282">
        <f>SUM(M684:M686)</f>
        <v>4.0105000000000004</v>
      </c>
    </row>
    <row r="684" spans="1:13" x14ac:dyDescent="0.2">
      <c r="A684" s="231"/>
      <c r="B684" s="9"/>
      <c r="C684" s="7" t="s">
        <v>171</v>
      </c>
      <c r="D684" s="8"/>
      <c r="E684" s="218"/>
      <c r="F684" s="218">
        <v>2</v>
      </c>
      <c r="G684" s="218"/>
      <c r="H684" s="218"/>
      <c r="I684" s="218">
        <v>0.82</v>
      </c>
      <c r="J684" s="218"/>
      <c r="K684" s="218"/>
      <c r="L684" s="218"/>
      <c r="M684" s="273">
        <f>F684*I684</f>
        <v>1.64</v>
      </c>
    </row>
    <row r="685" spans="1:13" x14ac:dyDescent="0.2">
      <c r="A685" s="231"/>
      <c r="B685" s="9"/>
      <c r="C685" s="7"/>
      <c r="D685" s="8"/>
      <c r="E685" s="218">
        <v>3</v>
      </c>
      <c r="F685" s="218">
        <v>0.55000000000000004</v>
      </c>
      <c r="G685" s="218"/>
      <c r="H685" s="218"/>
      <c r="I685" s="218">
        <v>0.82</v>
      </c>
      <c r="J685" s="218"/>
      <c r="K685" s="218"/>
      <c r="L685" s="218"/>
      <c r="M685" s="273">
        <f>E685*F685*I685</f>
        <v>1.353</v>
      </c>
    </row>
    <row r="686" spans="1:13" x14ac:dyDescent="0.2">
      <c r="A686" s="231"/>
      <c r="B686" s="9"/>
      <c r="C686" s="7"/>
      <c r="D686" s="8"/>
      <c r="E686" s="218"/>
      <c r="F686" s="218">
        <v>1.85</v>
      </c>
      <c r="G686" s="218"/>
      <c r="H686" s="218"/>
      <c r="I686" s="218">
        <v>0.55000000000000004</v>
      </c>
      <c r="J686" s="218"/>
      <c r="K686" s="218"/>
      <c r="L686" s="218"/>
      <c r="M686" s="273">
        <f>F686*I686</f>
        <v>1.0175000000000001</v>
      </c>
    </row>
    <row r="687" spans="1:13" x14ac:dyDescent="0.2">
      <c r="A687" s="231"/>
      <c r="B687" s="9"/>
      <c r="C687" s="7"/>
      <c r="D687" s="8"/>
      <c r="E687" s="218"/>
      <c r="F687" s="218"/>
      <c r="G687" s="218"/>
      <c r="H687" s="218"/>
      <c r="I687" s="218"/>
      <c r="J687" s="218"/>
      <c r="K687" s="218"/>
      <c r="L687" s="218"/>
      <c r="M687" s="273"/>
    </row>
    <row r="688" spans="1:13" x14ac:dyDescent="0.2">
      <c r="A688" s="231"/>
      <c r="B688" s="9"/>
      <c r="C688" s="7"/>
      <c r="D688" s="8"/>
      <c r="E688" s="218"/>
      <c r="F688" s="218"/>
      <c r="G688" s="218"/>
      <c r="H688" s="218"/>
      <c r="I688" s="218"/>
      <c r="J688" s="218"/>
      <c r="K688" s="218"/>
      <c r="L688" s="218"/>
      <c r="M688" s="273"/>
    </row>
    <row r="689" spans="1:13" x14ac:dyDescent="0.2">
      <c r="A689" s="231"/>
      <c r="B689" s="9"/>
      <c r="C689" s="7"/>
      <c r="D689" s="8"/>
      <c r="E689" s="218"/>
      <c r="F689" s="218"/>
      <c r="G689" s="218"/>
      <c r="H689" s="218"/>
      <c r="I689" s="218"/>
      <c r="J689" s="218"/>
      <c r="K689" s="218"/>
      <c r="L689" s="218"/>
      <c r="M689" s="273"/>
    </row>
    <row r="690" spans="1:13" x14ac:dyDescent="0.2">
      <c r="A690" s="231"/>
      <c r="B690" s="9"/>
      <c r="C690" s="7"/>
      <c r="D690" s="8"/>
      <c r="E690" s="218"/>
      <c r="F690" s="218"/>
      <c r="G690" s="218"/>
      <c r="H690" s="218"/>
      <c r="I690" s="218"/>
      <c r="J690" s="218"/>
      <c r="K690" s="218"/>
      <c r="L690" s="218"/>
      <c r="M690" s="273"/>
    </row>
    <row r="691" spans="1:13" ht="84" x14ac:dyDescent="0.2">
      <c r="A691" s="231" t="s">
        <v>1158</v>
      </c>
      <c r="B691" s="9" t="s">
        <v>444</v>
      </c>
      <c r="C691" s="7" t="s">
        <v>1159</v>
      </c>
      <c r="D691" s="17" t="s">
        <v>17</v>
      </c>
      <c r="E691" s="218"/>
      <c r="F691" s="218"/>
      <c r="G691" s="218"/>
      <c r="H691" s="218"/>
      <c r="I691" s="218"/>
      <c r="J691" s="218"/>
      <c r="K691" s="218"/>
      <c r="L691" s="218"/>
      <c r="M691" s="272">
        <f>SUM(M692,M712)</f>
        <v>68.010199999999998</v>
      </c>
    </row>
    <row r="692" spans="1:13" x14ac:dyDescent="0.2">
      <c r="A692" s="231"/>
      <c r="B692" s="9"/>
      <c r="C692" s="7" t="s">
        <v>151</v>
      </c>
      <c r="D692" s="8"/>
      <c r="E692" s="218"/>
      <c r="F692" s="218"/>
      <c r="G692" s="218"/>
      <c r="H692" s="218"/>
      <c r="I692" s="218"/>
      <c r="J692" s="218"/>
      <c r="K692" s="218"/>
      <c r="L692" s="218"/>
      <c r="M692" s="282">
        <f>SUM(M693,M697,M701,M705,M709)</f>
        <v>34.510199999999998</v>
      </c>
    </row>
    <row r="693" spans="1:13" x14ac:dyDescent="0.2">
      <c r="A693" s="231"/>
      <c r="B693" s="9"/>
      <c r="C693" s="7" t="s">
        <v>437</v>
      </c>
      <c r="D693" s="8"/>
      <c r="E693" s="218"/>
      <c r="F693" s="218"/>
      <c r="G693" s="218"/>
      <c r="H693" s="218"/>
      <c r="I693" s="218"/>
      <c r="J693" s="218"/>
      <c r="K693" s="218"/>
      <c r="L693" s="218"/>
      <c r="M693" s="273">
        <f>SUM(M694:M695)</f>
        <v>10.560000000000002</v>
      </c>
    </row>
    <row r="694" spans="1:13" x14ac:dyDescent="0.2">
      <c r="A694" s="231"/>
      <c r="B694" s="9"/>
      <c r="C694" s="7" t="s">
        <v>708</v>
      </c>
      <c r="D694" s="8"/>
      <c r="E694" s="218"/>
      <c r="F694" s="218"/>
      <c r="G694" s="218">
        <v>7.2</v>
      </c>
      <c r="H694" s="218"/>
      <c r="I694" s="218">
        <v>1.6</v>
      </c>
      <c r="J694" s="218"/>
      <c r="K694" s="218"/>
      <c r="L694" s="218"/>
      <c r="M694" s="273">
        <f>G694*I694</f>
        <v>11.520000000000001</v>
      </c>
    </row>
    <row r="695" spans="1:13" x14ac:dyDescent="0.2">
      <c r="A695" s="231"/>
      <c r="B695" s="9"/>
      <c r="C695" s="7" t="s">
        <v>709</v>
      </c>
      <c r="D695" s="8"/>
      <c r="E695" s="218"/>
      <c r="F695" s="218"/>
      <c r="G695" s="218"/>
      <c r="H695" s="218">
        <v>0.6</v>
      </c>
      <c r="I695" s="218">
        <v>1.6</v>
      </c>
      <c r="J695" s="218"/>
      <c r="K695" s="218"/>
      <c r="L695" s="218"/>
      <c r="M695" s="273">
        <f>-H695*I695</f>
        <v>-0.96</v>
      </c>
    </row>
    <row r="696" spans="1:13" x14ac:dyDescent="0.2">
      <c r="A696" s="231"/>
      <c r="B696" s="9"/>
      <c r="C696" s="7"/>
      <c r="D696" s="8"/>
      <c r="E696" s="218"/>
      <c r="F696" s="218"/>
      <c r="G696" s="218"/>
      <c r="H696" s="218"/>
      <c r="I696" s="218"/>
      <c r="J696" s="218"/>
      <c r="K696" s="218"/>
      <c r="L696" s="218"/>
      <c r="M696" s="273"/>
    </row>
    <row r="697" spans="1:13" x14ac:dyDescent="0.2">
      <c r="A697" s="231"/>
      <c r="B697" s="9"/>
      <c r="C697" s="7" t="s">
        <v>438</v>
      </c>
      <c r="D697" s="8"/>
      <c r="E697" s="218"/>
      <c r="F697" s="218"/>
      <c r="G697" s="218"/>
      <c r="H697" s="218"/>
      <c r="I697" s="218"/>
      <c r="J697" s="218"/>
      <c r="K697" s="218"/>
      <c r="L697" s="218"/>
      <c r="M697" s="273">
        <f>SUM(M698:M699)</f>
        <v>8.0229999999999997</v>
      </c>
    </row>
    <row r="698" spans="1:13" x14ac:dyDescent="0.2">
      <c r="A698" s="231"/>
      <c r="B698" s="9"/>
      <c r="C698" s="7" t="s">
        <v>710</v>
      </c>
      <c r="D698" s="8"/>
      <c r="E698" s="218"/>
      <c r="F698" s="218"/>
      <c r="G698" s="218">
        <v>6.25</v>
      </c>
      <c r="H698" s="218"/>
      <c r="I698" s="218">
        <v>1.42</v>
      </c>
      <c r="J698" s="218"/>
      <c r="K698" s="218"/>
      <c r="L698" s="218"/>
      <c r="M698" s="273">
        <f>G698*I698</f>
        <v>8.875</v>
      </c>
    </row>
    <row r="699" spans="1:13" x14ac:dyDescent="0.2">
      <c r="A699" s="231"/>
      <c r="B699" s="9"/>
      <c r="C699" s="7" t="s">
        <v>709</v>
      </c>
      <c r="D699" s="8"/>
      <c r="E699" s="218"/>
      <c r="F699" s="218"/>
      <c r="G699" s="218"/>
      <c r="H699" s="218">
        <v>0.6</v>
      </c>
      <c r="I699" s="218">
        <v>1.42</v>
      </c>
      <c r="J699" s="218"/>
      <c r="K699" s="218"/>
      <c r="L699" s="218"/>
      <c r="M699" s="273">
        <f>-H699*I699</f>
        <v>-0.85199999999999998</v>
      </c>
    </row>
    <row r="700" spans="1:13" x14ac:dyDescent="0.2">
      <c r="A700" s="231"/>
      <c r="B700" s="9"/>
      <c r="C700" s="7"/>
      <c r="D700" s="8"/>
      <c r="E700" s="218"/>
      <c r="F700" s="218"/>
      <c r="G700" s="218"/>
      <c r="H700" s="218"/>
      <c r="I700" s="218"/>
      <c r="J700" s="218"/>
      <c r="K700" s="218"/>
      <c r="L700" s="218"/>
      <c r="M700" s="273"/>
    </row>
    <row r="701" spans="1:13" x14ac:dyDescent="0.2">
      <c r="A701" s="231"/>
      <c r="B701" s="9"/>
      <c r="C701" s="7" t="s">
        <v>428</v>
      </c>
      <c r="D701" s="8"/>
      <c r="E701" s="218"/>
      <c r="F701" s="218"/>
      <c r="G701" s="218"/>
      <c r="H701" s="218"/>
      <c r="I701" s="218"/>
      <c r="J701" s="218"/>
      <c r="K701" s="218"/>
      <c r="L701" s="218"/>
      <c r="M701" s="273">
        <f>SUM(M702:M703)</f>
        <v>8.6051999999999982</v>
      </c>
    </row>
    <row r="702" spans="1:13" x14ac:dyDescent="0.2">
      <c r="A702" s="231"/>
      <c r="B702" s="9"/>
      <c r="C702" s="7" t="s">
        <v>711</v>
      </c>
      <c r="D702" s="8"/>
      <c r="E702" s="218"/>
      <c r="F702" s="218"/>
      <c r="G702" s="218">
        <v>7.06</v>
      </c>
      <c r="H702" s="218"/>
      <c r="I702" s="218">
        <v>1.42</v>
      </c>
      <c r="J702" s="218"/>
      <c r="K702" s="218"/>
      <c r="L702" s="218"/>
      <c r="M702" s="273">
        <f>G702*I702</f>
        <v>10.025199999999998</v>
      </c>
    </row>
    <row r="703" spans="1:13" x14ac:dyDescent="0.2">
      <c r="A703" s="231"/>
      <c r="B703" s="9"/>
      <c r="C703" s="7" t="s">
        <v>709</v>
      </c>
      <c r="D703" s="8"/>
      <c r="E703" s="218"/>
      <c r="F703" s="218"/>
      <c r="G703" s="218"/>
      <c r="H703" s="218">
        <v>1</v>
      </c>
      <c r="I703" s="218">
        <v>1.42</v>
      </c>
      <c r="J703" s="218"/>
      <c r="K703" s="218"/>
      <c r="L703" s="218"/>
      <c r="M703" s="273">
        <f>-H703*I703</f>
        <v>-1.42</v>
      </c>
    </row>
    <row r="704" spans="1:13" x14ac:dyDescent="0.2">
      <c r="A704" s="231"/>
      <c r="B704" s="9"/>
      <c r="C704" s="7"/>
      <c r="D704" s="8"/>
      <c r="E704" s="218"/>
      <c r="F704" s="218"/>
      <c r="G704" s="218"/>
      <c r="H704" s="218"/>
      <c r="I704" s="218"/>
      <c r="J704" s="218"/>
      <c r="K704" s="218"/>
      <c r="L704" s="218"/>
      <c r="M704" s="273"/>
    </row>
    <row r="705" spans="1:13" x14ac:dyDescent="0.2">
      <c r="A705" s="231"/>
      <c r="B705" s="9"/>
      <c r="C705" s="7" t="s">
        <v>659</v>
      </c>
      <c r="D705" s="8"/>
      <c r="E705" s="218"/>
      <c r="F705" s="218"/>
      <c r="G705" s="218"/>
      <c r="H705" s="218"/>
      <c r="I705" s="218"/>
      <c r="J705" s="218"/>
      <c r="K705" s="218"/>
      <c r="L705" s="218"/>
      <c r="M705" s="273">
        <f>SUM(M706:M707)</f>
        <v>6.2299999999999995</v>
      </c>
    </row>
    <row r="706" spans="1:13" x14ac:dyDescent="0.2">
      <c r="A706" s="231"/>
      <c r="B706" s="9"/>
      <c r="C706" s="7" t="s">
        <v>712</v>
      </c>
      <c r="D706" s="8"/>
      <c r="E706" s="218"/>
      <c r="F706" s="218"/>
      <c r="G706" s="218">
        <v>5.05</v>
      </c>
      <c r="H706" s="218"/>
      <c r="I706" s="218">
        <v>1.4</v>
      </c>
      <c r="J706" s="218"/>
      <c r="K706" s="218"/>
      <c r="L706" s="218"/>
      <c r="M706" s="273">
        <f>G706*I706</f>
        <v>7.0699999999999994</v>
      </c>
    </row>
    <row r="707" spans="1:13" x14ac:dyDescent="0.2">
      <c r="A707" s="231"/>
      <c r="B707" s="9"/>
      <c r="C707" s="7" t="s">
        <v>709</v>
      </c>
      <c r="D707" s="8"/>
      <c r="E707" s="218"/>
      <c r="F707" s="218"/>
      <c r="G707" s="218"/>
      <c r="H707" s="218">
        <v>0.6</v>
      </c>
      <c r="I707" s="218">
        <v>1.4</v>
      </c>
      <c r="J707" s="218"/>
      <c r="K707" s="218"/>
      <c r="L707" s="218"/>
      <c r="M707" s="273">
        <f>-H707*I707</f>
        <v>-0.84</v>
      </c>
    </row>
    <row r="708" spans="1:13" x14ac:dyDescent="0.2">
      <c r="A708" s="231"/>
      <c r="B708" s="9"/>
      <c r="C708" s="7"/>
      <c r="D708" s="8"/>
      <c r="E708" s="218"/>
      <c r="F708" s="218"/>
      <c r="G708" s="218"/>
      <c r="H708" s="218"/>
      <c r="I708" s="218"/>
      <c r="J708" s="218"/>
      <c r="K708" s="218"/>
      <c r="L708" s="218"/>
      <c r="M708" s="273"/>
    </row>
    <row r="709" spans="1:13" x14ac:dyDescent="0.2">
      <c r="A709" s="231"/>
      <c r="B709" s="9"/>
      <c r="C709" s="7" t="s">
        <v>165</v>
      </c>
      <c r="D709" s="8"/>
      <c r="E709" s="218"/>
      <c r="F709" s="218"/>
      <c r="G709" s="218"/>
      <c r="H709" s="218"/>
      <c r="I709" s="218"/>
      <c r="J709" s="218"/>
      <c r="K709" s="218"/>
      <c r="L709" s="218"/>
      <c r="M709" s="273">
        <f>SUM(M710)</f>
        <v>1.0920000000000001</v>
      </c>
    </row>
    <row r="710" spans="1:13" x14ac:dyDescent="0.2">
      <c r="A710" s="231"/>
      <c r="B710" s="9"/>
      <c r="C710" s="7" t="s">
        <v>713</v>
      </c>
      <c r="D710" s="8"/>
      <c r="E710" s="218"/>
      <c r="F710" s="218"/>
      <c r="G710" s="218">
        <v>2.73</v>
      </c>
      <c r="H710" s="218"/>
      <c r="I710" s="218">
        <v>0.4</v>
      </c>
      <c r="J710" s="218"/>
      <c r="K710" s="218"/>
      <c r="L710" s="218"/>
      <c r="M710" s="273">
        <f>G710*I710</f>
        <v>1.0920000000000001</v>
      </c>
    </row>
    <row r="711" spans="1:13" x14ac:dyDescent="0.2">
      <c r="A711" s="231"/>
      <c r="B711" s="9"/>
      <c r="C711" s="7"/>
      <c r="D711" s="8"/>
      <c r="E711" s="218"/>
      <c r="F711" s="218"/>
      <c r="G711" s="218"/>
      <c r="H711" s="218"/>
      <c r="I711" s="218"/>
      <c r="J711" s="218"/>
      <c r="K711" s="218"/>
      <c r="L711" s="218"/>
      <c r="M711" s="273"/>
    </row>
    <row r="712" spans="1:13" x14ac:dyDescent="0.2">
      <c r="A712" s="231"/>
      <c r="B712" s="9"/>
      <c r="C712" s="7" t="s">
        <v>152</v>
      </c>
      <c r="D712" s="8"/>
      <c r="E712" s="218"/>
      <c r="F712" s="218"/>
      <c r="G712" s="218"/>
      <c r="H712" s="218"/>
      <c r="I712" s="218"/>
      <c r="J712" s="218"/>
      <c r="K712" s="218"/>
      <c r="L712" s="218"/>
      <c r="M712" s="282">
        <f>SUM(M713,M717,M721)</f>
        <v>33.500000000000007</v>
      </c>
    </row>
    <row r="713" spans="1:13" x14ac:dyDescent="0.2">
      <c r="A713" s="231"/>
      <c r="B713" s="9"/>
      <c r="C713" s="7" t="s">
        <v>714</v>
      </c>
      <c r="D713" s="8"/>
      <c r="E713" s="218"/>
      <c r="F713" s="218"/>
      <c r="G713" s="218"/>
      <c r="H713" s="218"/>
      <c r="I713" s="218"/>
      <c r="J713" s="218"/>
      <c r="K713" s="218"/>
      <c r="L713" s="218"/>
      <c r="M713" s="273">
        <f>SUM(M714:M715)</f>
        <v>7.84</v>
      </c>
    </row>
    <row r="714" spans="1:13" x14ac:dyDescent="0.2">
      <c r="A714" s="231"/>
      <c r="B714" s="9"/>
      <c r="C714" s="7" t="s">
        <v>715</v>
      </c>
      <c r="D714" s="8"/>
      <c r="E714" s="218"/>
      <c r="F714" s="218"/>
      <c r="G714" s="218">
        <v>6.2</v>
      </c>
      <c r="H714" s="218"/>
      <c r="I714" s="218">
        <v>1.4</v>
      </c>
      <c r="J714" s="218"/>
      <c r="K714" s="218"/>
      <c r="L714" s="218"/>
      <c r="M714" s="273">
        <f>G714*I714</f>
        <v>8.68</v>
      </c>
    </row>
    <row r="715" spans="1:13" x14ac:dyDescent="0.2">
      <c r="A715" s="231"/>
      <c r="B715" s="9"/>
      <c r="C715" s="7" t="s">
        <v>709</v>
      </c>
      <c r="D715" s="8"/>
      <c r="E715" s="218"/>
      <c r="F715" s="218"/>
      <c r="G715" s="218"/>
      <c r="H715" s="218">
        <v>0.6</v>
      </c>
      <c r="I715" s="218">
        <v>1.4</v>
      </c>
      <c r="J715" s="218"/>
      <c r="K715" s="218"/>
      <c r="L715" s="218"/>
      <c r="M715" s="273">
        <f>-H715*I715</f>
        <v>-0.84</v>
      </c>
    </row>
    <row r="716" spans="1:13" x14ac:dyDescent="0.2">
      <c r="A716" s="231"/>
      <c r="B716" s="9"/>
      <c r="C716" s="7"/>
      <c r="D716" s="8"/>
      <c r="E716" s="218"/>
      <c r="F716" s="218"/>
      <c r="G716" s="218"/>
      <c r="H716" s="218"/>
      <c r="I716" s="218"/>
      <c r="J716" s="218"/>
      <c r="K716" s="218"/>
      <c r="L716" s="218"/>
      <c r="M716" s="273"/>
    </row>
    <row r="717" spans="1:13" x14ac:dyDescent="0.2">
      <c r="A717" s="231"/>
      <c r="B717" s="9"/>
      <c r="C717" s="7" t="s">
        <v>716</v>
      </c>
      <c r="D717" s="8"/>
      <c r="E717" s="218"/>
      <c r="F717" s="218"/>
      <c r="G717" s="218"/>
      <c r="H717" s="218"/>
      <c r="I717" s="218"/>
      <c r="J717" s="218"/>
      <c r="K717" s="218"/>
      <c r="L717" s="218"/>
      <c r="M717" s="273">
        <f>SUM(M718:M719)</f>
        <v>24.64</v>
      </c>
    </row>
    <row r="718" spans="1:13" x14ac:dyDescent="0.2">
      <c r="A718" s="231"/>
      <c r="B718" s="9"/>
      <c r="C718" s="7" t="s">
        <v>717</v>
      </c>
      <c r="D718" s="8"/>
      <c r="E718" s="218">
        <v>2</v>
      </c>
      <c r="F718" s="218"/>
      <c r="G718" s="218">
        <v>9.4</v>
      </c>
      <c r="H718" s="218"/>
      <c r="I718" s="218">
        <v>1.4</v>
      </c>
      <c r="J718" s="218"/>
      <c r="K718" s="218"/>
      <c r="L718" s="218"/>
      <c r="M718" s="273">
        <f>E718*G718*I718</f>
        <v>26.32</v>
      </c>
    </row>
    <row r="719" spans="1:13" x14ac:dyDescent="0.2">
      <c r="A719" s="231"/>
      <c r="B719" s="9"/>
      <c r="C719" s="7" t="s">
        <v>648</v>
      </c>
      <c r="D719" s="8"/>
      <c r="E719" s="218">
        <v>2</v>
      </c>
      <c r="F719" s="218"/>
      <c r="G719" s="218"/>
      <c r="H719" s="218">
        <v>0.6</v>
      </c>
      <c r="I719" s="218">
        <v>1.4</v>
      </c>
      <c r="J719" s="218"/>
      <c r="K719" s="218"/>
      <c r="L719" s="218"/>
      <c r="M719" s="273">
        <f>-E719*H719*I719</f>
        <v>-1.68</v>
      </c>
    </row>
    <row r="720" spans="1:13" x14ac:dyDescent="0.2">
      <c r="A720" s="231"/>
      <c r="B720" s="9"/>
      <c r="C720" s="7"/>
      <c r="D720" s="8"/>
      <c r="E720" s="218"/>
      <c r="F720" s="218"/>
      <c r="G720" s="218"/>
      <c r="H720" s="218"/>
      <c r="I720" s="218"/>
      <c r="J720" s="218"/>
      <c r="K720" s="218"/>
      <c r="L720" s="218"/>
      <c r="M720" s="273"/>
    </row>
    <row r="721" spans="1:13" x14ac:dyDescent="0.2">
      <c r="A721" s="231"/>
      <c r="B721" s="9"/>
      <c r="C721" s="7" t="s">
        <v>171</v>
      </c>
      <c r="D721" s="8"/>
      <c r="E721" s="218"/>
      <c r="F721" s="218"/>
      <c r="G721" s="218"/>
      <c r="H721" s="218"/>
      <c r="I721" s="218"/>
      <c r="J721" s="218"/>
      <c r="K721" s="218"/>
      <c r="L721" s="218"/>
      <c r="M721" s="273">
        <f>SUM(M722)</f>
        <v>1.02</v>
      </c>
    </row>
    <row r="722" spans="1:13" x14ac:dyDescent="0.2">
      <c r="A722" s="231"/>
      <c r="B722" s="9"/>
      <c r="C722" s="7" t="s">
        <v>718</v>
      </c>
      <c r="D722" s="8"/>
      <c r="E722" s="218"/>
      <c r="F722" s="218"/>
      <c r="G722" s="218">
        <v>2.5499999999999998</v>
      </c>
      <c r="H722" s="218"/>
      <c r="I722" s="218">
        <v>0.4</v>
      </c>
      <c r="J722" s="218"/>
      <c r="K722" s="218"/>
      <c r="L722" s="218"/>
      <c r="M722" s="273">
        <f>G722*I722</f>
        <v>1.02</v>
      </c>
    </row>
    <row r="723" spans="1:13" x14ac:dyDescent="0.2">
      <c r="A723" s="231"/>
      <c r="B723" s="9"/>
      <c r="C723" s="7"/>
      <c r="D723" s="8"/>
      <c r="E723" s="218"/>
      <c r="F723" s="218"/>
      <c r="G723" s="218"/>
      <c r="H723" s="218"/>
      <c r="I723" s="218"/>
      <c r="J723" s="218"/>
      <c r="K723" s="218"/>
      <c r="L723" s="218"/>
      <c r="M723" s="273"/>
    </row>
    <row r="724" spans="1:13" x14ac:dyDescent="0.2">
      <c r="A724" s="236"/>
      <c r="B724" s="344"/>
      <c r="C724" s="345"/>
      <c r="D724" s="346"/>
      <c r="E724" s="347"/>
      <c r="F724" s="347"/>
      <c r="G724" s="347"/>
      <c r="H724" s="347"/>
      <c r="I724" s="347"/>
      <c r="J724" s="347"/>
      <c r="K724" s="347"/>
      <c r="L724" s="347"/>
      <c r="M724" s="342"/>
    </row>
    <row r="725" spans="1:13" ht="60" x14ac:dyDescent="0.2">
      <c r="A725" s="231" t="s">
        <v>1160</v>
      </c>
      <c r="B725" s="9" t="s">
        <v>448</v>
      </c>
      <c r="C725" s="7" t="s">
        <v>1161</v>
      </c>
      <c r="D725" s="17" t="s">
        <v>17</v>
      </c>
      <c r="E725" s="218"/>
      <c r="F725" s="218"/>
      <c r="G725" s="218"/>
      <c r="H725" s="218"/>
      <c r="I725" s="218"/>
      <c r="J725" s="218"/>
      <c r="K725" s="218"/>
      <c r="L725" s="218"/>
      <c r="M725" s="272">
        <f>SUM(M726,M746)</f>
        <v>1.27</v>
      </c>
    </row>
    <row r="726" spans="1:13" x14ac:dyDescent="0.2">
      <c r="A726" s="231"/>
      <c r="B726" s="9"/>
      <c r="C726" s="7" t="s">
        <v>151</v>
      </c>
      <c r="D726" s="8"/>
      <c r="E726" s="218"/>
      <c r="F726" s="218"/>
      <c r="G726" s="218"/>
      <c r="H726" s="218"/>
      <c r="I726" s="218"/>
      <c r="J726" s="218"/>
      <c r="K726" s="218"/>
      <c r="L726" s="218"/>
      <c r="M726" s="282">
        <f>SUM(M727,M731,M735,M739,M743)</f>
        <v>0.76</v>
      </c>
    </row>
    <row r="727" spans="1:13" x14ac:dyDescent="0.2">
      <c r="A727" s="231"/>
      <c r="B727" s="9"/>
      <c r="C727" s="7" t="s">
        <v>437</v>
      </c>
      <c r="D727" s="8"/>
      <c r="E727" s="218"/>
      <c r="F727" s="218"/>
      <c r="G727" s="218"/>
      <c r="H727" s="218"/>
      <c r="I727" s="218"/>
      <c r="J727" s="218"/>
      <c r="K727" s="218"/>
      <c r="L727" s="218"/>
      <c r="M727" s="273">
        <f>SUM(M728:M729)</f>
        <v>0.2</v>
      </c>
    </row>
    <row r="728" spans="1:13" x14ac:dyDescent="0.2">
      <c r="A728" s="231"/>
      <c r="B728" s="9"/>
      <c r="C728" s="7" t="s">
        <v>708</v>
      </c>
      <c r="D728" s="8"/>
      <c r="E728" s="218"/>
      <c r="F728" s="218"/>
      <c r="G728" s="218">
        <v>7.2</v>
      </c>
      <c r="H728" s="218"/>
      <c r="I728" s="218">
        <v>0.03</v>
      </c>
      <c r="J728" s="218"/>
      <c r="K728" s="218"/>
      <c r="L728" s="218"/>
      <c r="M728" s="273">
        <f>ROUND(G728*I728,2)</f>
        <v>0.22</v>
      </c>
    </row>
    <row r="729" spans="1:13" x14ac:dyDescent="0.2">
      <c r="A729" s="231"/>
      <c r="B729" s="9"/>
      <c r="C729" s="7" t="s">
        <v>709</v>
      </c>
      <c r="D729" s="8"/>
      <c r="E729" s="218"/>
      <c r="F729" s="218"/>
      <c r="G729" s="218"/>
      <c r="H729" s="218">
        <v>0.6</v>
      </c>
      <c r="I729" s="218">
        <v>0.03</v>
      </c>
      <c r="J729" s="218"/>
      <c r="K729" s="218"/>
      <c r="L729" s="218"/>
      <c r="M729" s="273">
        <f>ROUND(-H729*I729,2)</f>
        <v>-0.02</v>
      </c>
    </row>
    <row r="730" spans="1:13" x14ac:dyDescent="0.2">
      <c r="A730" s="231"/>
      <c r="B730" s="9"/>
      <c r="C730" s="7"/>
      <c r="D730" s="8"/>
      <c r="E730" s="218"/>
      <c r="F730" s="218"/>
      <c r="G730" s="218"/>
      <c r="H730" s="218"/>
      <c r="I730" s="218"/>
      <c r="J730" s="218"/>
      <c r="K730" s="218"/>
      <c r="L730" s="218"/>
      <c r="M730" s="273"/>
    </row>
    <row r="731" spans="1:13" x14ac:dyDescent="0.2">
      <c r="A731" s="231"/>
      <c r="B731" s="9"/>
      <c r="C731" s="7" t="s">
        <v>438</v>
      </c>
      <c r="D731" s="8"/>
      <c r="E731" s="218"/>
      <c r="F731" s="218"/>
      <c r="G731" s="218"/>
      <c r="H731" s="218"/>
      <c r="I731" s="218"/>
      <c r="J731" s="218"/>
      <c r="K731" s="218"/>
      <c r="L731" s="218"/>
      <c r="M731" s="273">
        <f>SUM(M732:M733)</f>
        <v>0.17</v>
      </c>
    </row>
    <row r="732" spans="1:13" x14ac:dyDescent="0.2">
      <c r="A732" s="231"/>
      <c r="B732" s="9"/>
      <c r="C732" s="7" t="s">
        <v>710</v>
      </c>
      <c r="D732" s="8"/>
      <c r="E732" s="218"/>
      <c r="F732" s="218"/>
      <c r="G732" s="218">
        <v>6.25</v>
      </c>
      <c r="H732" s="218"/>
      <c r="I732" s="218">
        <v>0.03</v>
      </c>
      <c r="J732" s="218"/>
      <c r="K732" s="218"/>
      <c r="L732" s="218"/>
      <c r="M732" s="273">
        <f>ROUND(G732*I732,2)</f>
        <v>0.19</v>
      </c>
    </row>
    <row r="733" spans="1:13" x14ac:dyDescent="0.2">
      <c r="A733" s="231"/>
      <c r="B733" s="9"/>
      <c r="C733" s="7" t="s">
        <v>709</v>
      </c>
      <c r="D733" s="8"/>
      <c r="E733" s="218"/>
      <c r="F733" s="218"/>
      <c r="G733" s="218"/>
      <c r="H733" s="218">
        <v>0.6</v>
      </c>
      <c r="I733" s="218">
        <v>0.03</v>
      </c>
      <c r="J733" s="218"/>
      <c r="K733" s="218"/>
      <c r="L733" s="218"/>
      <c r="M733" s="273">
        <f>ROUND(-H733*I733,2)</f>
        <v>-0.02</v>
      </c>
    </row>
    <row r="734" spans="1:13" x14ac:dyDescent="0.2">
      <c r="A734" s="231"/>
      <c r="B734" s="9"/>
      <c r="C734" s="7"/>
      <c r="D734" s="8"/>
      <c r="E734" s="218"/>
      <c r="F734" s="218"/>
      <c r="G734" s="218"/>
      <c r="H734" s="218"/>
      <c r="I734" s="218"/>
      <c r="J734" s="218"/>
      <c r="K734" s="218"/>
      <c r="L734" s="218"/>
      <c r="M734" s="273"/>
    </row>
    <row r="735" spans="1:13" x14ac:dyDescent="0.2">
      <c r="A735" s="231"/>
      <c r="B735" s="9"/>
      <c r="C735" s="7" t="s">
        <v>428</v>
      </c>
      <c r="D735" s="8"/>
      <c r="E735" s="218"/>
      <c r="F735" s="218"/>
      <c r="G735" s="218"/>
      <c r="H735" s="218"/>
      <c r="I735" s="218"/>
      <c r="J735" s="218"/>
      <c r="K735" s="218"/>
      <c r="L735" s="218"/>
      <c r="M735" s="273">
        <f>SUM(M736:M737)</f>
        <v>0.18</v>
      </c>
    </row>
    <row r="736" spans="1:13" x14ac:dyDescent="0.2">
      <c r="A736" s="231"/>
      <c r="B736" s="9"/>
      <c r="C736" s="7" t="s">
        <v>711</v>
      </c>
      <c r="D736" s="8"/>
      <c r="E736" s="218"/>
      <c r="F736" s="218"/>
      <c r="G736" s="218">
        <v>7.06</v>
      </c>
      <c r="H736" s="218"/>
      <c r="I736" s="218">
        <v>0.03</v>
      </c>
      <c r="J736" s="218"/>
      <c r="K736" s="218"/>
      <c r="L736" s="218"/>
      <c r="M736" s="273">
        <f>ROUND(G736*I736,2)</f>
        <v>0.21</v>
      </c>
    </row>
    <row r="737" spans="1:13" x14ac:dyDescent="0.2">
      <c r="A737" s="231"/>
      <c r="B737" s="9"/>
      <c r="C737" s="7" t="s">
        <v>709</v>
      </c>
      <c r="D737" s="8"/>
      <c r="E737" s="218"/>
      <c r="F737" s="218"/>
      <c r="G737" s="218"/>
      <c r="H737" s="218">
        <v>1</v>
      </c>
      <c r="I737" s="218">
        <v>0.03</v>
      </c>
      <c r="J737" s="218"/>
      <c r="K737" s="218"/>
      <c r="L737" s="218"/>
      <c r="M737" s="273">
        <f>ROUND(-H737*I737,2)</f>
        <v>-0.03</v>
      </c>
    </row>
    <row r="738" spans="1:13" x14ac:dyDescent="0.2">
      <c r="A738" s="231"/>
      <c r="B738" s="9"/>
      <c r="C738" s="7"/>
      <c r="D738" s="8"/>
      <c r="E738" s="218"/>
      <c r="F738" s="218"/>
      <c r="G738" s="218"/>
      <c r="H738" s="218"/>
      <c r="I738" s="218"/>
      <c r="J738" s="218"/>
      <c r="K738" s="218"/>
      <c r="L738" s="218"/>
      <c r="M738" s="273"/>
    </row>
    <row r="739" spans="1:13" x14ac:dyDescent="0.2">
      <c r="A739" s="231"/>
      <c r="B739" s="9"/>
      <c r="C739" s="7" t="s">
        <v>659</v>
      </c>
      <c r="D739" s="8"/>
      <c r="E739" s="218"/>
      <c r="F739" s="218"/>
      <c r="G739" s="218"/>
      <c r="H739" s="218"/>
      <c r="I739" s="218"/>
      <c r="J739" s="218"/>
      <c r="K739" s="218"/>
      <c r="L739" s="218"/>
      <c r="M739" s="273">
        <f>SUM(M740:M741)</f>
        <v>0.13</v>
      </c>
    </row>
    <row r="740" spans="1:13" x14ac:dyDescent="0.2">
      <c r="A740" s="231"/>
      <c r="B740" s="9"/>
      <c r="C740" s="7" t="s">
        <v>712</v>
      </c>
      <c r="D740" s="8"/>
      <c r="E740" s="218"/>
      <c r="F740" s="218"/>
      <c r="G740" s="218">
        <v>5.05</v>
      </c>
      <c r="H740" s="218"/>
      <c r="I740" s="218">
        <v>0.03</v>
      </c>
      <c r="J740" s="218"/>
      <c r="K740" s="218"/>
      <c r="L740" s="218"/>
      <c r="M740" s="273">
        <f>ROUND(G740*I740,2)</f>
        <v>0.15</v>
      </c>
    </row>
    <row r="741" spans="1:13" x14ac:dyDescent="0.2">
      <c r="A741" s="231"/>
      <c r="B741" s="9"/>
      <c r="C741" s="7" t="s">
        <v>709</v>
      </c>
      <c r="D741" s="8"/>
      <c r="E741" s="218"/>
      <c r="F741" s="218"/>
      <c r="G741" s="218"/>
      <c r="H741" s="218">
        <v>0.6</v>
      </c>
      <c r="I741" s="218">
        <v>0.03</v>
      </c>
      <c r="J741" s="218"/>
      <c r="K741" s="218"/>
      <c r="L741" s="218"/>
      <c r="M741" s="273">
        <f>ROUND(-H741*I741,2)</f>
        <v>-0.02</v>
      </c>
    </row>
    <row r="742" spans="1:13" x14ac:dyDescent="0.2">
      <c r="A742" s="231"/>
      <c r="B742" s="9"/>
      <c r="C742" s="7"/>
      <c r="D742" s="8"/>
      <c r="E742" s="218"/>
      <c r="F742" s="218"/>
      <c r="G742" s="218"/>
      <c r="H742" s="218"/>
      <c r="I742" s="218"/>
      <c r="J742" s="218"/>
      <c r="K742" s="218"/>
      <c r="L742" s="218"/>
      <c r="M742" s="273"/>
    </row>
    <row r="743" spans="1:13" x14ac:dyDescent="0.2">
      <c r="A743" s="231"/>
      <c r="B743" s="9"/>
      <c r="C743" s="7" t="s">
        <v>165</v>
      </c>
      <c r="D743" s="8"/>
      <c r="E743" s="218"/>
      <c r="F743" s="218"/>
      <c r="G743" s="218"/>
      <c r="H743" s="218"/>
      <c r="I743" s="218"/>
      <c r="J743" s="218"/>
      <c r="K743" s="218"/>
      <c r="L743" s="218"/>
      <c r="M743" s="273">
        <f>SUM(M744)</f>
        <v>0.08</v>
      </c>
    </row>
    <row r="744" spans="1:13" x14ac:dyDescent="0.2">
      <c r="A744" s="231"/>
      <c r="B744" s="9"/>
      <c r="C744" s="7" t="s">
        <v>713</v>
      </c>
      <c r="D744" s="8"/>
      <c r="E744" s="218"/>
      <c r="F744" s="218"/>
      <c r="G744" s="218">
        <v>2.73</v>
      </c>
      <c r="H744" s="218"/>
      <c r="I744" s="218">
        <v>0.03</v>
      </c>
      <c r="J744" s="218"/>
      <c r="K744" s="218"/>
      <c r="L744" s="218"/>
      <c r="M744" s="273">
        <f>ROUND(G744*I744,2)</f>
        <v>0.08</v>
      </c>
    </row>
    <row r="745" spans="1:13" x14ac:dyDescent="0.2">
      <c r="A745" s="231"/>
      <c r="B745" s="9"/>
      <c r="C745" s="7"/>
      <c r="D745" s="8"/>
      <c r="E745" s="218"/>
      <c r="F745" s="218"/>
      <c r="G745" s="218"/>
      <c r="H745" s="218"/>
      <c r="I745" s="218"/>
      <c r="J745" s="218"/>
      <c r="K745" s="218"/>
      <c r="L745" s="218"/>
      <c r="M745" s="273"/>
    </row>
    <row r="746" spans="1:13" x14ac:dyDescent="0.2">
      <c r="A746" s="231"/>
      <c r="B746" s="9"/>
      <c r="C746" s="7" t="s">
        <v>152</v>
      </c>
      <c r="D746" s="8"/>
      <c r="E746" s="218"/>
      <c r="F746" s="218"/>
      <c r="G746" s="218"/>
      <c r="H746" s="218"/>
      <c r="I746" s="218"/>
      <c r="J746" s="218"/>
      <c r="K746" s="218"/>
      <c r="L746" s="218"/>
      <c r="M746" s="282">
        <f>SUM(M747,M751,M755)</f>
        <v>0.51</v>
      </c>
    </row>
    <row r="747" spans="1:13" x14ac:dyDescent="0.2">
      <c r="A747" s="231"/>
      <c r="B747" s="9"/>
      <c r="C747" s="7" t="s">
        <v>714</v>
      </c>
      <c r="D747" s="8"/>
      <c r="E747" s="218"/>
      <c r="F747" s="218"/>
      <c r="G747" s="218"/>
      <c r="H747" s="218"/>
      <c r="I747" s="218"/>
      <c r="J747" s="218"/>
      <c r="K747" s="218"/>
      <c r="L747" s="218"/>
      <c r="M747" s="273">
        <f>SUM(M748:M749)</f>
        <v>0.17</v>
      </c>
    </row>
    <row r="748" spans="1:13" x14ac:dyDescent="0.2">
      <c r="A748" s="231"/>
      <c r="B748" s="9"/>
      <c r="C748" s="7" t="s">
        <v>715</v>
      </c>
      <c r="D748" s="8"/>
      <c r="E748" s="218"/>
      <c r="F748" s="218"/>
      <c r="G748" s="218">
        <v>6.2</v>
      </c>
      <c r="H748" s="218"/>
      <c r="I748" s="218">
        <v>0.03</v>
      </c>
      <c r="J748" s="218"/>
      <c r="K748" s="218"/>
      <c r="L748" s="218"/>
      <c r="M748" s="273">
        <f>ROUND(G748*I748,2)</f>
        <v>0.19</v>
      </c>
    </row>
    <row r="749" spans="1:13" x14ac:dyDescent="0.2">
      <c r="A749" s="231"/>
      <c r="B749" s="9"/>
      <c r="C749" s="7" t="s">
        <v>709</v>
      </c>
      <c r="D749" s="8"/>
      <c r="E749" s="218"/>
      <c r="F749" s="218"/>
      <c r="G749" s="218"/>
      <c r="H749" s="218">
        <v>0.6</v>
      </c>
      <c r="I749" s="218">
        <v>0.03</v>
      </c>
      <c r="J749" s="218"/>
      <c r="K749" s="218"/>
      <c r="L749" s="218"/>
      <c r="M749" s="273">
        <f>ROUND(-H749*I749,2)</f>
        <v>-0.02</v>
      </c>
    </row>
    <row r="750" spans="1:13" x14ac:dyDescent="0.2">
      <c r="A750" s="231"/>
      <c r="B750" s="9"/>
      <c r="C750" s="7"/>
      <c r="D750" s="8"/>
      <c r="E750" s="218"/>
      <c r="F750" s="218"/>
      <c r="G750" s="218"/>
      <c r="H750" s="218"/>
      <c r="I750" s="218"/>
      <c r="J750" s="218"/>
      <c r="K750" s="218"/>
      <c r="L750" s="218"/>
      <c r="M750" s="273"/>
    </row>
    <row r="751" spans="1:13" x14ac:dyDescent="0.2">
      <c r="A751" s="231"/>
      <c r="B751" s="9"/>
      <c r="C751" s="7" t="s">
        <v>716</v>
      </c>
      <c r="D751" s="8"/>
      <c r="E751" s="218"/>
      <c r="F751" s="218"/>
      <c r="G751" s="218"/>
      <c r="H751" s="218"/>
      <c r="I751" s="218"/>
      <c r="J751" s="218"/>
      <c r="K751" s="218"/>
      <c r="L751" s="218"/>
      <c r="M751" s="273">
        <f>SUM(M752:M753)</f>
        <v>0.26</v>
      </c>
    </row>
    <row r="752" spans="1:13" x14ac:dyDescent="0.2">
      <c r="A752" s="231"/>
      <c r="B752" s="9"/>
      <c r="C752" s="7" t="s">
        <v>717</v>
      </c>
      <c r="D752" s="8"/>
      <c r="E752" s="218">
        <v>2</v>
      </c>
      <c r="F752" s="218"/>
      <c r="G752" s="218">
        <v>9.4</v>
      </c>
      <c r="H752" s="218"/>
      <c r="I752" s="218">
        <v>0.03</v>
      </c>
      <c r="J752" s="218"/>
      <c r="K752" s="218"/>
      <c r="L752" s="218"/>
      <c r="M752" s="273">
        <f>ROUND(G752*I752,2)</f>
        <v>0.28000000000000003</v>
      </c>
    </row>
    <row r="753" spans="1:13" x14ac:dyDescent="0.2">
      <c r="A753" s="231"/>
      <c r="B753" s="9"/>
      <c r="C753" s="7" t="s">
        <v>648</v>
      </c>
      <c r="D753" s="8"/>
      <c r="E753" s="218">
        <v>2</v>
      </c>
      <c r="F753" s="218"/>
      <c r="G753" s="218"/>
      <c r="H753" s="218">
        <v>0.6</v>
      </c>
      <c r="I753" s="218">
        <v>0.03</v>
      </c>
      <c r="J753" s="218"/>
      <c r="K753" s="218"/>
      <c r="L753" s="218"/>
      <c r="M753" s="273">
        <f>ROUND(-H753*I753,2)</f>
        <v>-0.02</v>
      </c>
    </row>
    <row r="754" spans="1:13" x14ac:dyDescent="0.2">
      <c r="A754" s="231"/>
      <c r="B754" s="9"/>
      <c r="C754" s="7"/>
      <c r="D754" s="8"/>
      <c r="E754" s="218"/>
      <c r="F754" s="218"/>
      <c r="G754" s="218"/>
      <c r="H754" s="218"/>
      <c r="I754" s="218"/>
      <c r="J754" s="218"/>
      <c r="K754" s="218"/>
      <c r="L754" s="218"/>
      <c r="M754" s="273"/>
    </row>
    <row r="755" spans="1:13" x14ac:dyDescent="0.2">
      <c r="A755" s="231"/>
      <c r="B755" s="9"/>
      <c r="C755" s="7" t="s">
        <v>171</v>
      </c>
      <c r="D755" s="8"/>
      <c r="E755" s="218"/>
      <c r="F755" s="218"/>
      <c r="G755" s="218"/>
      <c r="H755" s="218"/>
      <c r="I755" s="218"/>
      <c r="J755" s="218"/>
      <c r="K755" s="218"/>
      <c r="L755" s="218"/>
      <c r="M755" s="273">
        <f>SUM(M756)</f>
        <v>0.08</v>
      </c>
    </row>
    <row r="756" spans="1:13" x14ac:dyDescent="0.2">
      <c r="A756" s="231"/>
      <c r="B756" s="9"/>
      <c r="C756" s="7" t="s">
        <v>718</v>
      </c>
      <c r="D756" s="8"/>
      <c r="E756" s="218"/>
      <c r="F756" s="218"/>
      <c r="G756" s="218">
        <v>2.5499999999999998</v>
      </c>
      <c r="H756" s="218"/>
      <c r="I756" s="218">
        <v>0.03</v>
      </c>
      <c r="J756" s="218"/>
      <c r="K756" s="218"/>
      <c r="L756" s="218"/>
      <c r="M756" s="273">
        <f>ROUND(G756*I756,2)</f>
        <v>0.08</v>
      </c>
    </row>
    <row r="757" spans="1:13" x14ac:dyDescent="0.2">
      <c r="A757" s="231"/>
      <c r="B757" s="9"/>
      <c r="C757" s="7"/>
      <c r="D757" s="8"/>
      <c r="E757" s="218"/>
      <c r="F757" s="218"/>
      <c r="G757" s="218"/>
      <c r="H757" s="218"/>
      <c r="I757" s="218"/>
      <c r="J757" s="218"/>
      <c r="K757" s="218"/>
      <c r="L757" s="218"/>
      <c r="M757" s="273"/>
    </row>
    <row r="758" spans="1:13" x14ac:dyDescent="0.2">
      <c r="A758" s="231"/>
      <c r="B758" s="9"/>
      <c r="C758" s="7"/>
      <c r="D758" s="8"/>
      <c r="E758" s="218"/>
      <c r="F758" s="218"/>
      <c r="G758" s="218"/>
      <c r="H758" s="218"/>
      <c r="I758" s="218"/>
      <c r="J758" s="218"/>
      <c r="K758" s="218"/>
      <c r="L758" s="218"/>
      <c r="M758" s="273"/>
    </row>
    <row r="759" spans="1:13" x14ac:dyDescent="0.2">
      <c r="A759" s="274"/>
      <c r="B759" s="29" t="s">
        <v>12</v>
      </c>
      <c r="C759" s="30" t="s">
        <v>103</v>
      </c>
      <c r="D759" s="31"/>
      <c r="E759" s="31"/>
      <c r="F759" s="31"/>
      <c r="G759" s="31"/>
      <c r="H759" s="31"/>
      <c r="I759" s="31"/>
      <c r="J759" s="31"/>
      <c r="K759" s="31"/>
      <c r="L759" s="31"/>
      <c r="M759" s="275"/>
    </row>
    <row r="760" spans="1:13" s="144" customFormat="1" ht="48" x14ac:dyDescent="0.2">
      <c r="A760" s="238" t="s">
        <v>104</v>
      </c>
      <c r="B760" s="131" t="s">
        <v>309</v>
      </c>
      <c r="C760" s="132" t="s">
        <v>105</v>
      </c>
      <c r="D760" s="145" t="s">
        <v>17</v>
      </c>
      <c r="E760" s="142"/>
      <c r="F760" s="142"/>
      <c r="G760" s="142"/>
      <c r="H760" s="142"/>
      <c r="I760" s="142"/>
      <c r="J760" s="142"/>
      <c r="K760" s="142"/>
      <c r="L760" s="142"/>
      <c r="M760" s="284">
        <f>ROUND(SUM(M761),2)</f>
        <v>100.8</v>
      </c>
    </row>
    <row r="761" spans="1:13" x14ac:dyDescent="0.2">
      <c r="A761" s="231"/>
      <c r="B761" s="9"/>
      <c r="C761" s="7"/>
      <c r="D761" s="17"/>
      <c r="E761" s="218">
        <v>14</v>
      </c>
      <c r="F761" s="218">
        <v>4.5</v>
      </c>
      <c r="G761" s="218"/>
      <c r="H761" s="218"/>
      <c r="I761" s="218">
        <v>1.6</v>
      </c>
      <c r="J761" s="218"/>
      <c r="K761" s="218"/>
      <c r="L761" s="218"/>
      <c r="M761" s="273">
        <f>ROUND(E761*F761*I761,2)</f>
        <v>100.8</v>
      </c>
    </row>
    <row r="762" spans="1:13" x14ac:dyDescent="0.2">
      <c r="A762" s="231"/>
      <c r="B762" s="9"/>
      <c r="C762" s="7"/>
      <c r="D762" s="17"/>
      <c r="E762" s="218"/>
      <c r="F762" s="218"/>
      <c r="G762" s="218"/>
      <c r="H762" s="218"/>
      <c r="I762" s="218"/>
      <c r="J762" s="218"/>
      <c r="K762" s="218"/>
      <c r="L762" s="218"/>
      <c r="M762" s="273"/>
    </row>
    <row r="763" spans="1:13" x14ac:dyDescent="0.2">
      <c r="A763" s="231"/>
      <c r="B763" s="9"/>
      <c r="C763" s="7"/>
      <c r="D763" s="17"/>
      <c r="E763" s="218"/>
      <c r="F763" s="218"/>
      <c r="G763" s="218"/>
      <c r="H763" s="218"/>
      <c r="I763" s="218"/>
      <c r="J763" s="218"/>
      <c r="K763" s="218"/>
      <c r="L763" s="218"/>
      <c r="M763" s="273"/>
    </row>
    <row r="764" spans="1:13" ht="36" x14ac:dyDescent="0.2">
      <c r="A764" s="231" t="s">
        <v>656</v>
      </c>
      <c r="B764" s="9" t="s">
        <v>362</v>
      </c>
      <c r="C764" s="7" t="s">
        <v>657</v>
      </c>
      <c r="D764" s="17" t="s">
        <v>17</v>
      </c>
      <c r="E764" s="218"/>
      <c r="F764" s="218"/>
      <c r="G764" s="218"/>
      <c r="H764" s="218"/>
      <c r="I764" s="218"/>
      <c r="J764" s="218"/>
      <c r="K764" s="218"/>
      <c r="L764" s="218"/>
      <c r="M764" s="272">
        <f>SUM(M765:M773)</f>
        <v>16.001799999999999</v>
      </c>
    </row>
    <row r="765" spans="1:13" x14ac:dyDescent="0.2">
      <c r="A765" s="231"/>
      <c r="B765" s="9"/>
      <c r="C765" s="7" t="s">
        <v>150</v>
      </c>
      <c r="D765" s="17"/>
      <c r="E765" s="218"/>
      <c r="F765" s="218"/>
      <c r="G765" s="218"/>
      <c r="H765" s="218"/>
      <c r="I765" s="218"/>
      <c r="J765" s="218"/>
      <c r="K765" s="218"/>
      <c r="L765" s="218"/>
      <c r="M765" s="282">
        <f>SUM(M766)</f>
        <v>1.1054999999999999</v>
      </c>
    </row>
    <row r="766" spans="1:13" x14ac:dyDescent="0.2">
      <c r="A766" s="231"/>
      <c r="B766" s="9"/>
      <c r="C766" s="7" t="s">
        <v>658</v>
      </c>
      <c r="D766" s="17"/>
      <c r="E766" s="218"/>
      <c r="F766" s="218">
        <v>1.65</v>
      </c>
      <c r="G766" s="218"/>
      <c r="H766" s="218">
        <v>0.67</v>
      </c>
      <c r="I766" s="218"/>
      <c r="J766" s="218"/>
      <c r="K766" s="218"/>
      <c r="L766" s="218"/>
      <c r="M766" s="273">
        <f>F766*H766</f>
        <v>1.1054999999999999</v>
      </c>
    </row>
    <row r="767" spans="1:13" x14ac:dyDescent="0.2">
      <c r="A767" s="231"/>
      <c r="B767" s="9"/>
      <c r="C767" s="7"/>
      <c r="D767" s="17"/>
      <c r="E767" s="218"/>
      <c r="F767" s="218"/>
      <c r="G767" s="218"/>
      <c r="H767" s="218"/>
      <c r="I767" s="218"/>
      <c r="J767" s="218"/>
      <c r="K767" s="218"/>
      <c r="L767" s="218"/>
      <c r="M767" s="273"/>
    </row>
    <row r="768" spans="1:13" x14ac:dyDescent="0.2">
      <c r="A768" s="231"/>
      <c r="B768" s="9"/>
      <c r="C768" s="7" t="s">
        <v>151</v>
      </c>
      <c r="D768" s="17"/>
      <c r="E768" s="218"/>
      <c r="F768" s="218"/>
      <c r="G768" s="218"/>
      <c r="H768" s="218"/>
      <c r="I768" s="218"/>
      <c r="J768" s="218"/>
      <c r="K768" s="218"/>
      <c r="L768" s="218"/>
      <c r="M768" s="282">
        <f>SUM(M769)</f>
        <v>1.365</v>
      </c>
    </row>
    <row r="769" spans="1:13" x14ac:dyDescent="0.2">
      <c r="A769" s="231"/>
      <c r="B769" s="9"/>
      <c r="C769" s="7" t="s">
        <v>165</v>
      </c>
      <c r="D769" s="17"/>
      <c r="E769" s="218"/>
      <c r="F769" s="218">
        <v>1.95</v>
      </c>
      <c r="G769" s="218"/>
      <c r="H769" s="218">
        <v>0.7</v>
      </c>
      <c r="I769" s="218"/>
      <c r="J769" s="218"/>
      <c r="K769" s="218"/>
      <c r="L769" s="218"/>
      <c r="M769" s="273">
        <f>F769*H769</f>
        <v>1.365</v>
      </c>
    </row>
    <row r="770" spans="1:13" x14ac:dyDescent="0.2">
      <c r="A770" s="231"/>
      <c r="B770" s="9"/>
      <c r="C770" s="7"/>
      <c r="D770" s="17"/>
      <c r="E770" s="218"/>
      <c r="F770" s="218"/>
      <c r="G770" s="218"/>
      <c r="H770" s="218"/>
      <c r="I770" s="218"/>
      <c r="J770" s="218"/>
      <c r="K770" s="218"/>
      <c r="L770" s="218"/>
      <c r="M770" s="273"/>
    </row>
    <row r="771" spans="1:13" x14ac:dyDescent="0.2">
      <c r="A771" s="231"/>
      <c r="B771" s="9"/>
      <c r="C771" s="7" t="s">
        <v>152</v>
      </c>
      <c r="D771" s="17"/>
      <c r="E771" s="218"/>
      <c r="F771" s="218"/>
      <c r="G771" s="218"/>
      <c r="H771" s="218"/>
      <c r="I771" s="218"/>
      <c r="J771" s="218"/>
      <c r="K771" s="218"/>
      <c r="L771" s="218"/>
      <c r="M771" s="282">
        <f>SUM(M772:M773)</f>
        <v>5.5304000000000002</v>
      </c>
    </row>
    <row r="772" spans="1:13" x14ac:dyDescent="0.2">
      <c r="A772" s="231"/>
      <c r="B772" s="9"/>
      <c r="C772" s="7" t="s">
        <v>171</v>
      </c>
      <c r="D772" s="17"/>
      <c r="E772" s="218"/>
      <c r="F772" s="218">
        <v>1.78</v>
      </c>
      <c r="G772" s="218"/>
      <c r="H772" s="218">
        <v>0.68</v>
      </c>
      <c r="I772" s="218"/>
      <c r="J772" s="218"/>
      <c r="K772" s="218"/>
      <c r="L772" s="218"/>
      <c r="M772" s="273">
        <f>F772*H772</f>
        <v>1.2104000000000001</v>
      </c>
    </row>
    <row r="773" spans="1:13" x14ac:dyDescent="0.2">
      <c r="A773" s="231"/>
      <c r="B773" s="9"/>
      <c r="C773" s="7" t="s">
        <v>441</v>
      </c>
      <c r="D773" s="17"/>
      <c r="E773" s="218">
        <v>4</v>
      </c>
      <c r="F773" s="218">
        <v>1.8</v>
      </c>
      <c r="G773" s="218"/>
      <c r="H773" s="218">
        <v>0.6</v>
      </c>
      <c r="I773" s="218"/>
      <c r="J773" s="218"/>
      <c r="K773" s="218"/>
      <c r="L773" s="218"/>
      <c r="M773" s="273">
        <f>E773*F773*H773</f>
        <v>4.32</v>
      </c>
    </row>
    <row r="774" spans="1:13" x14ac:dyDescent="0.2">
      <c r="A774" s="231"/>
      <c r="B774" s="9"/>
      <c r="C774" s="7"/>
      <c r="D774" s="17"/>
      <c r="E774" s="218"/>
      <c r="F774" s="218"/>
      <c r="G774" s="218"/>
      <c r="H774" s="218"/>
      <c r="I774" s="218"/>
      <c r="J774" s="218"/>
      <c r="K774" s="218"/>
      <c r="L774" s="218"/>
      <c r="M774" s="273"/>
    </row>
    <row r="775" spans="1:13" ht="108" x14ac:dyDescent="0.2">
      <c r="A775" s="231" t="s">
        <v>1162</v>
      </c>
      <c r="B775" s="9" t="s">
        <v>798</v>
      </c>
      <c r="C775" s="7" t="s">
        <v>1163</v>
      </c>
      <c r="D775" s="17" t="s">
        <v>16</v>
      </c>
      <c r="E775" s="218"/>
      <c r="F775" s="218"/>
      <c r="G775" s="218"/>
      <c r="H775" s="218"/>
      <c r="I775" s="218"/>
      <c r="J775" s="218"/>
      <c r="K775" s="218"/>
      <c r="L775" s="218"/>
      <c r="M775" s="284">
        <f>ROUND(SUM(M776,M779,M782),2)</f>
        <v>7</v>
      </c>
    </row>
    <row r="776" spans="1:13" x14ac:dyDescent="0.2">
      <c r="A776" s="231"/>
      <c r="B776" s="9"/>
      <c r="C776" s="7" t="s">
        <v>150</v>
      </c>
      <c r="D776" s="17"/>
      <c r="E776" s="218"/>
      <c r="F776" s="218"/>
      <c r="G776" s="218"/>
      <c r="H776" s="218"/>
      <c r="I776" s="218"/>
      <c r="J776" s="218"/>
      <c r="K776" s="218"/>
      <c r="L776" s="218"/>
      <c r="M776" s="273">
        <f>SUM(M777)</f>
        <v>1</v>
      </c>
    </row>
    <row r="777" spans="1:13" x14ac:dyDescent="0.2">
      <c r="A777" s="231"/>
      <c r="B777" s="9"/>
      <c r="C777" s="7" t="s">
        <v>658</v>
      </c>
      <c r="D777" s="17"/>
      <c r="E777" s="218">
        <v>1</v>
      </c>
      <c r="F777" s="218"/>
      <c r="G777" s="218"/>
      <c r="H777" s="218"/>
      <c r="I777" s="218"/>
      <c r="J777" s="218"/>
      <c r="K777" s="218"/>
      <c r="L777" s="218"/>
      <c r="M777" s="273">
        <f>E777</f>
        <v>1</v>
      </c>
    </row>
    <row r="778" spans="1:13" x14ac:dyDescent="0.2">
      <c r="A778" s="231"/>
      <c r="B778" s="9"/>
      <c r="C778" s="7"/>
      <c r="D778" s="17"/>
      <c r="E778" s="218"/>
      <c r="F778" s="218"/>
      <c r="G778" s="218"/>
      <c r="H778" s="218"/>
      <c r="I778" s="218"/>
      <c r="J778" s="218"/>
      <c r="K778" s="218"/>
      <c r="L778" s="218"/>
      <c r="M778" s="273"/>
    </row>
    <row r="779" spans="1:13" x14ac:dyDescent="0.2">
      <c r="A779" s="231"/>
      <c r="B779" s="9"/>
      <c r="C779" s="7" t="s">
        <v>151</v>
      </c>
      <c r="D779" s="17"/>
      <c r="E779" s="218"/>
      <c r="F779" s="218"/>
      <c r="G779" s="218"/>
      <c r="H779" s="218"/>
      <c r="I779" s="218"/>
      <c r="J779" s="218"/>
      <c r="K779" s="218"/>
      <c r="L779" s="218"/>
      <c r="M779" s="273">
        <f>SUM(M780)</f>
        <v>1</v>
      </c>
    </row>
    <row r="780" spans="1:13" x14ac:dyDescent="0.2">
      <c r="A780" s="231"/>
      <c r="B780" s="9"/>
      <c r="C780" s="7" t="s">
        <v>165</v>
      </c>
      <c r="D780" s="17"/>
      <c r="E780" s="218">
        <v>1</v>
      </c>
      <c r="F780" s="218"/>
      <c r="G780" s="218"/>
      <c r="H780" s="218"/>
      <c r="I780" s="218"/>
      <c r="J780" s="218"/>
      <c r="K780" s="218"/>
      <c r="L780" s="218"/>
      <c r="M780" s="273">
        <f>E780</f>
        <v>1</v>
      </c>
    </row>
    <row r="781" spans="1:13" x14ac:dyDescent="0.2">
      <c r="A781" s="231"/>
      <c r="B781" s="9"/>
      <c r="C781" s="7"/>
      <c r="D781" s="17"/>
      <c r="E781" s="218"/>
      <c r="F781" s="218"/>
      <c r="G781" s="218"/>
      <c r="H781" s="218"/>
      <c r="I781" s="218"/>
      <c r="J781" s="218"/>
      <c r="K781" s="218"/>
      <c r="L781" s="218"/>
      <c r="M781" s="273"/>
    </row>
    <row r="782" spans="1:13" x14ac:dyDescent="0.2">
      <c r="A782" s="231"/>
      <c r="B782" s="9"/>
      <c r="C782" s="7" t="s">
        <v>152</v>
      </c>
      <c r="D782" s="17"/>
      <c r="E782" s="218"/>
      <c r="F782" s="218"/>
      <c r="G782" s="218"/>
      <c r="H782" s="218"/>
      <c r="I782" s="218"/>
      <c r="J782" s="218"/>
      <c r="K782" s="218"/>
      <c r="L782" s="218"/>
      <c r="M782" s="273">
        <f>SUM(M783:M784)</f>
        <v>5</v>
      </c>
    </row>
    <row r="783" spans="1:13" x14ac:dyDescent="0.2">
      <c r="A783" s="231"/>
      <c r="B783" s="9"/>
      <c r="C783" s="7" t="s">
        <v>171</v>
      </c>
      <c r="D783" s="17"/>
      <c r="E783" s="218">
        <v>1</v>
      </c>
      <c r="F783" s="218"/>
      <c r="G783" s="218"/>
      <c r="H783" s="218"/>
      <c r="I783" s="218"/>
      <c r="J783" s="218"/>
      <c r="K783" s="218"/>
      <c r="L783" s="218"/>
      <c r="M783" s="273">
        <f>E783</f>
        <v>1</v>
      </c>
    </row>
    <row r="784" spans="1:13" x14ac:dyDescent="0.2">
      <c r="A784" s="231"/>
      <c r="B784" s="9"/>
      <c r="C784" s="7" t="s">
        <v>441</v>
      </c>
      <c r="D784" s="17"/>
      <c r="E784" s="218">
        <v>4</v>
      </c>
      <c r="F784" s="218"/>
      <c r="G784" s="218"/>
      <c r="H784" s="218"/>
      <c r="I784" s="218"/>
      <c r="J784" s="218"/>
      <c r="K784" s="218"/>
      <c r="L784" s="218"/>
      <c r="M784" s="273">
        <f>E784</f>
        <v>4</v>
      </c>
    </row>
    <row r="785" spans="1:13" x14ac:dyDescent="0.2">
      <c r="A785" s="231"/>
      <c r="B785" s="9"/>
      <c r="C785" s="7"/>
      <c r="D785" s="17"/>
      <c r="E785" s="218"/>
      <c r="F785" s="218"/>
      <c r="G785" s="218"/>
      <c r="H785" s="218"/>
      <c r="I785" s="218"/>
      <c r="J785" s="218"/>
      <c r="K785" s="218"/>
      <c r="L785" s="218"/>
      <c r="M785" s="273"/>
    </row>
    <row r="786" spans="1:13" x14ac:dyDescent="0.2">
      <c r="A786" s="240" t="s">
        <v>799</v>
      </c>
      <c r="B786" s="9" t="s">
        <v>1164</v>
      </c>
      <c r="C786" s="7" t="s">
        <v>800</v>
      </c>
      <c r="D786" s="17" t="s">
        <v>17</v>
      </c>
      <c r="E786" s="218"/>
      <c r="F786" s="218"/>
      <c r="G786" s="218"/>
      <c r="H786" s="218"/>
      <c r="I786" s="218"/>
      <c r="J786" s="218"/>
      <c r="K786" s="218"/>
      <c r="L786" s="218"/>
      <c r="M786" s="284">
        <f>ROUND(SUM(M787),2)</f>
        <v>100.8</v>
      </c>
    </row>
    <row r="787" spans="1:13" x14ac:dyDescent="0.2">
      <c r="A787" s="231"/>
      <c r="B787" s="9"/>
      <c r="C787" s="7"/>
      <c r="D787" s="17"/>
      <c r="E787" s="218">
        <v>14</v>
      </c>
      <c r="F787" s="218">
        <v>4.5</v>
      </c>
      <c r="G787" s="218"/>
      <c r="H787" s="218"/>
      <c r="I787" s="218">
        <v>1.6</v>
      </c>
      <c r="J787" s="218"/>
      <c r="K787" s="218"/>
      <c r="L787" s="218"/>
      <c r="M787" s="273">
        <f>ROUND(E787*F787*I787,2)</f>
        <v>100.8</v>
      </c>
    </row>
    <row r="788" spans="1:13" x14ac:dyDescent="0.2">
      <c r="A788" s="236"/>
      <c r="B788" s="344"/>
      <c r="C788" s="345"/>
      <c r="D788" s="348"/>
      <c r="E788" s="347"/>
      <c r="F788" s="347"/>
      <c r="G788" s="347"/>
      <c r="H788" s="347"/>
      <c r="I788" s="347"/>
      <c r="J788" s="347"/>
      <c r="K788" s="347"/>
      <c r="L788" s="347"/>
      <c r="M788" s="342"/>
    </row>
    <row r="789" spans="1:13" x14ac:dyDescent="0.2">
      <c r="A789" s="274"/>
      <c r="B789" s="29" t="s">
        <v>13</v>
      </c>
      <c r="C789" s="30" t="s">
        <v>114</v>
      </c>
      <c r="D789" s="31"/>
      <c r="E789" s="31"/>
      <c r="F789" s="31"/>
      <c r="G789" s="31"/>
      <c r="H789" s="31"/>
      <c r="I789" s="31"/>
      <c r="J789" s="31"/>
      <c r="K789" s="31"/>
      <c r="L789" s="31"/>
      <c r="M789" s="275"/>
    </row>
    <row r="790" spans="1:13" ht="72" x14ac:dyDescent="0.2">
      <c r="A790" s="231" t="s">
        <v>107</v>
      </c>
      <c r="B790" s="9" t="s">
        <v>310</v>
      </c>
      <c r="C790" s="7" t="s">
        <v>108</v>
      </c>
      <c r="D790" s="17" t="s">
        <v>16</v>
      </c>
      <c r="E790" s="23"/>
      <c r="F790" s="218"/>
      <c r="G790" s="218"/>
      <c r="H790" s="218"/>
      <c r="I790" s="218"/>
      <c r="J790" s="218"/>
      <c r="K790" s="218"/>
      <c r="L790" s="218"/>
      <c r="M790" s="272">
        <f>SUM(M791)</f>
        <v>1</v>
      </c>
    </row>
    <row r="791" spans="1:13" x14ac:dyDescent="0.2">
      <c r="A791" s="231"/>
      <c r="B791" s="9"/>
      <c r="C791" s="7" t="s">
        <v>152</v>
      </c>
      <c r="D791" s="17"/>
      <c r="E791" s="218"/>
      <c r="F791" s="218"/>
      <c r="G791" s="218"/>
      <c r="H791" s="218"/>
      <c r="I791" s="218"/>
      <c r="J791" s="218"/>
      <c r="K791" s="218"/>
      <c r="L791" s="218"/>
      <c r="M791" s="277">
        <f>SUM(M792)</f>
        <v>1</v>
      </c>
    </row>
    <row r="792" spans="1:13" ht="14.25" customHeight="1" x14ac:dyDescent="0.2">
      <c r="A792" s="231"/>
      <c r="B792" s="9"/>
      <c r="C792" s="7" t="s">
        <v>171</v>
      </c>
      <c r="D792" s="17"/>
      <c r="E792" s="218">
        <v>1</v>
      </c>
      <c r="F792" s="218"/>
      <c r="G792" s="218"/>
      <c r="H792" s="218"/>
      <c r="I792" s="218"/>
      <c r="J792" s="218"/>
      <c r="K792" s="218"/>
      <c r="L792" s="218"/>
      <c r="M792" s="281">
        <f>E792</f>
        <v>1</v>
      </c>
    </row>
    <row r="793" spans="1:13" ht="14.25" customHeight="1" x14ac:dyDescent="0.2">
      <c r="A793" s="231"/>
      <c r="B793" s="9"/>
      <c r="C793" s="7"/>
      <c r="D793" s="17"/>
      <c r="E793" s="218"/>
      <c r="F793" s="218"/>
      <c r="G793" s="218"/>
      <c r="H793" s="218"/>
      <c r="I793" s="218"/>
      <c r="J793" s="218"/>
      <c r="K793" s="218"/>
      <c r="L793" s="218"/>
      <c r="M793" s="281"/>
    </row>
    <row r="794" spans="1:13" ht="14.25" customHeight="1" x14ac:dyDescent="0.2">
      <c r="A794" s="231"/>
      <c r="B794" s="9"/>
      <c r="C794" s="7"/>
      <c r="D794" s="17"/>
      <c r="E794" s="218"/>
      <c r="F794" s="218"/>
      <c r="G794" s="218"/>
      <c r="H794" s="218"/>
      <c r="I794" s="218"/>
      <c r="J794" s="218"/>
      <c r="K794" s="218"/>
      <c r="L794" s="218"/>
      <c r="M794" s="281"/>
    </row>
    <row r="795" spans="1:13" ht="14.25" customHeight="1" x14ac:dyDescent="0.2">
      <c r="A795" s="231"/>
      <c r="B795" s="9"/>
      <c r="C795" s="7"/>
      <c r="D795" s="17"/>
      <c r="E795" s="218"/>
      <c r="F795" s="218"/>
      <c r="G795" s="218"/>
      <c r="H795" s="218"/>
      <c r="I795" s="218"/>
      <c r="J795" s="218"/>
      <c r="K795" s="218"/>
      <c r="L795" s="218"/>
      <c r="M795" s="277"/>
    </row>
    <row r="796" spans="1:13" ht="14.25" customHeight="1" x14ac:dyDescent="0.2">
      <c r="A796" s="231" t="s">
        <v>111</v>
      </c>
      <c r="B796" s="9" t="s">
        <v>363</v>
      </c>
      <c r="C796" s="7" t="s">
        <v>112</v>
      </c>
      <c r="D796" s="17" t="s">
        <v>16</v>
      </c>
      <c r="E796" s="23"/>
      <c r="F796" s="218"/>
      <c r="G796" s="218"/>
      <c r="H796" s="218"/>
      <c r="I796" s="218"/>
      <c r="J796" s="218"/>
      <c r="K796" s="218"/>
      <c r="L796" s="218"/>
      <c r="M796" s="272">
        <f>SUM(M797,M803)</f>
        <v>7</v>
      </c>
    </row>
    <row r="797" spans="1:13" x14ac:dyDescent="0.2">
      <c r="A797" s="231"/>
      <c r="B797" s="9"/>
      <c r="C797" s="7" t="s">
        <v>151</v>
      </c>
      <c r="D797" s="17"/>
      <c r="E797" s="218"/>
      <c r="F797" s="218"/>
      <c r="G797" s="218"/>
      <c r="H797" s="218"/>
      <c r="I797" s="218"/>
      <c r="J797" s="218"/>
      <c r="K797" s="218"/>
      <c r="L797" s="218"/>
      <c r="M797" s="277">
        <f>SUM(M798:M801)</f>
        <v>4</v>
      </c>
    </row>
    <row r="798" spans="1:13" x14ac:dyDescent="0.2">
      <c r="A798" s="231"/>
      <c r="B798" s="9"/>
      <c r="C798" s="7" t="s">
        <v>437</v>
      </c>
      <c r="D798" s="17"/>
      <c r="E798" s="218">
        <v>1</v>
      </c>
      <c r="F798" s="218"/>
      <c r="G798" s="218"/>
      <c r="H798" s="218"/>
      <c r="I798" s="218"/>
      <c r="J798" s="218"/>
      <c r="K798" s="218"/>
      <c r="L798" s="218"/>
      <c r="M798" s="281">
        <f>E798</f>
        <v>1</v>
      </c>
    </row>
    <row r="799" spans="1:13" x14ac:dyDescent="0.2">
      <c r="A799" s="231"/>
      <c r="B799" s="9"/>
      <c r="C799" s="7" t="s">
        <v>438</v>
      </c>
      <c r="D799" s="17"/>
      <c r="E799" s="218">
        <v>1</v>
      </c>
      <c r="F799" s="218"/>
      <c r="G799" s="218"/>
      <c r="H799" s="218"/>
      <c r="I799" s="218"/>
      <c r="J799" s="218"/>
      <c r="K799" s="218"/>
      <c r="L799" s="218"/>
      <c r="M799" s="281">
        <f>E799</f>
        <v>1</v>
      </c>
    </row>
    <row r="800" spans="1:13" x14ac:dyDescent="0.2">
      <c r="A800" s="231"/>
      <c r="B800" s="9"/>
      <c r="C800" s="7" t="s">
        <v>428</v>
      </c>
      <c r="D800" s="17"/>
      <c r="E800" s="218">
        <v>1</v>
      </c>
      <c r="F800" s="218"/>
      <c r="G800" s="218"/>
      <c r="H800" s="218"/>
      <c r="I800" s="218"/>
      <c r="J800" s="218"/>
      <c r="K800" s="218"/>
      <c r="L800" s="218"/>
      <c r="M800" s="281">
        <f>E800</f>
        <v>1</v>
      </c>
    </row>
    <row r="801" spans="1:13" x14ac:dyDescent="0.2">
      <c r="A801" s="231"/>
      <c r="B801" s="9"/>
      <c r="C801" s="7" t="s">
        <v>659</v>
      </c>
      <c r="D801" s="17"/>
      <c r="E801" s="218">
        <v>1</v>
      </c>
      <c r="F801" s="218"/>
      <c r="G801" s="218"/>
      <c r="H801" s="218"/>
      <c r="I801" s="218"/>
      <c r="J801" s="218"/>
      <c r="K801" s="218"/>
      <c r="L801" s="218"/>
      <c r="M801" s="281">
        <f>E801</f>
        <v>1</v>
      </c>
    </row>
    <row r="802" spans="1:13" x14ac:dyDescent="0.2">
      <c r="A802" s="231"/>
      <c r="B802" s="9"/>
      <c r="C802" s="7"/>
      <c r="D802" s="17"/>
      <c r="E802" s="218"/>
      <c r="F802" s="218"/>
      <c r="G802" s="218"/>
      <c r="H802" s="218"/>
      <c r="I802" s="218"/>
      <c r="J802" s="218"/>
      <c r="K802" s="218"/>
      <c r="L802" s="218"/>
      <c r="M802" s="281"/>
    </row>
    <row r="803" spans="1:13" x14ac:dyDescent="0.2">
      <c r="A803" s="231"/>
      <c r="B803" s="9"/>
      <c r="C803" s="7" t="s">
        <v>152</v>
      </c>
      <c r="D803" s="17"/>
      <c r="E803" s="218"/>
      <c r="F803" s="218"/>
      <c r="G803" s="218"/>
      <c r="H803" s="218"/>
      <c r="I803" s="218"/>
      <c r="J803" s="218"/>
      <c r="K803" s="218"/>
      <c r="L803" s="218"/>
      <c r="M803" s="277">
        <f>SUM(M804:M805)</f>
        <v>3</v>
      </c>
    </row>
    <row r="804" spans="1:13" x14ac:dyDescent="0.2">
      <c r="A804" s="231"/>
      <c r="B804" s="9"/>
      <c r="C804" s="7" t="s">
        <v>660</v>
      </c>
      <c r="D804" s="17"/>
      <c r="E804" s="218">
        <v>1</v>
      </c>
      <c r="F804" s="218"/>
      <c r="G804" s="218"/>
      <c r="H804" s="218"/>
      <c r="I804" s="218"/>
      <c r="J804" s="218"/>
      <c r="K804" s="218"/>
      <c r="L804" s="218"/>
      <c r="M804" s="281">
        <f>E804</f>
        <v>1</v>
      </c>
    </row>
    <row r="805" spans="1:13" x14ac:dyDescent="0.2">
      <c r="A805" s="231"/>
      <c r="B805" s="9"/>
      <c r="C805" s="7" t="s">
        <v>441</v>
      </c>
      <c r="D805" s="17"/>
      <c r="E805" s="218">
        <v>2</v>
      </c>
      <c r="F805" s="218"/>
      <c r="G805" s="218"/>
      <c r="H805" s="218"/>
      <c r="I805" s="218"/>
      <c r="J805" s="218"/>
      <c r="K805" s="218"/>
      <c r="L805" s="218"/>
      <c r="M805" s="281">
        <f>E805</f>
        <v>2</v>
      </c>
    </row>
    <row r="806" spans="1:13" x14ac:dyDescent="0.2">
      <c r="A806" s="231"/>
      <c r="B806" s="9"/>
      <c r="C806" s="7"/>
      <c r="D806" s="17"/>
      <c r="E806" s="218"/>
      <c r="F806" s="218"/>
      <c r="G806" s="218"/>
      <c r="H806" s="218"/>
      <c r="I806" s="218"/>
      <c r="J806" s="218"/>
      <c r="K806" s="218"/>
      <c r="L806" s="218"/>
      <c r="M806" s="281"/>
    </row>
    <row r="807" spans="1:13" x14ac:dyDescent="0.2">
      <c r="A807" s="231"/>
      <c r="B807" s="9"/>
      <c r="C807" s="7"/>
      <c r="D807" s="17"/>
      <c r="E807" s="218"/>
      <c r="F807" s="218"/>
      <c r="G807" s="218"/>
      <c r="H807" s="218"/>
      <c r="I807" s="218"/>
      <c r="J807" s="218"/>
      <c r="K807" s="218"/>
      <c r="L807" s="218"/>
      <c r="M807" s="281"/>
    </row>
    <row r="808" spans="1:13" x14ac:dyDescent="0.2">
      <c r="A808" s="231"/>
      <c r="B808" s="9"/>
      <c r="C808" s="7"/>
      <c r="D808" s="17"/>
      <c r="E808" s="218"/>
      <c r="F808" s="218"/>
      <c r="G808" s="218"/>
      <c r="H808" s="218"/>
      <c r="I808" s="218"/>
      <c r="J808" s="218"/>
      <c r="K808" s="218"/>
      <c r="L808" s="218"/>
      <c r="M808" s="273"/>
    </row>
    <row r="809" spans="1:13" ht="60" x14ac:dyDescent="0.2">
      <c r="A809" s="231" t="s">
        <v>109</v>
      </c>
      <c r="B809" s="9" t="s">
        <v>364</v>
      </c>
      <c r="C809" s="7" t="s">
        <v>110</v>
      </c>
      <c r="D809" s="17" t="s">
        <v>16</v>
      </c>
      <c r="E809" s="23"/>
      <c r="F809" s="218"/>
      <c r="G809" s="218"/>
      <c r="H809" s="218"/>
      <c r="I809" s="218"/>
      <c r="J809" s="218"/>
      <c r="K809" s="218"/>
      <c r="L809" s="218"/>
      <c r="M809" s="272">
        <f>SUM(M810)</f>
        <v>1</v>
      </c>
    </row>
    <row r="810" spans="1:13" x14ac:dyDescent="0.2">
      <c r="A810" s="231"/>
      <c r="B810" s="9"/>
      <c r="C810" s="7" t="s">
        <v>450</v>
      </c>
      <c r="D810" s="17"/>
      <c r="E810" s="218">
        <v>1</v>
      </c>
      <c r="F810" s="218"/>
      <c r="G810" s="218"/>
      <c r="H810" s="218"/>
      <c r="I810" s="218"/>
      <c r="J810" s="218"/>
      <c r="K810" s="218"/>
      <c r="L810" s="218"/>
      <c r="M810" s="281">
        <f>E810</f>
        <v>1</v>
      </c>
    </row>
    <row r="811" spans="1:13" x14ac:dyDescent="0.2">
      <c r="A811" s="231"/>
      <c r="B811" s="9"/>
      <c r="C811" s="7"/>
      <c r="D811" s="17"/>
      <c r="E811" s="218"/>
      <c r="F811" s="218"/>
      <c r="G811" s="218"/>
      <c r="H811" s="218"/>
      <c r="I811" s="218"/>
      <c r="J811" s="218"/>
      <c r="K811" s="218"/>
      <c r="L811" s="218"/>
      <c r="M811" s="281"/>
    </row>
    <row r="812" spans="1:13" x14ac:dyDescent="0.2">
      <c r="A812" s="231"/>
      <c r="B812" s="9"/>
      <c r="C812" s="7"/>
      <c r="D812" s="17"/>
      <c r="E812" s="218"/>
      <c r="F812" s="218"/>
      <c r="G812" s="218"/>
      <c r="H812" s="218"/>
      <c r="I812" s="218"/>
      <c r="J812" s="218"/>
      <c r="K812" s="218"/>
      <c r="L812" s="218"/>
      <c r="M812" s="277"/>
    </row>
    <row r="813" spans="1:13" ht="96" x14ac:dyDescent="0.2">
      <c r="A813" s="231" t="s">
        <v>115</v>
      </c>
      <c r="B813" s="9" t="s">
        <v>365</v>
      </c>
      <c r="C813" s="7" t="s">
        <v>116</v>
      </c>
      <c r="D813" s="17" t="s">
        <v>16</v>
      </c>
      <c r="E813" s="218"/>
      <c r="F813" s="218"/>
      <c r="G813" s="218"/>
      <c r="H813" s="218"/>
      <c r="I813" s="218"/>
      <c r="J813" s="218"/>
      <c r="K813" s="218"/>
      <c r="L813" s="218"/>
      <c r="M813" s="272">
        <f>SUM(M814)</f>
        <v>1</v>
      </c>
    </row>
    <row r="814" spans="1:13" x14ac:dyDescent="0.2">
      <c r="A814" s="231"/>
      <c r="B814" s="9"/>
      <c r="C814" s="7"/>
      <c r="D814" s="17"/>
      <c r="E814" s="218">
        <v>1</v>
      </c>
      <c r="F814" s="218"/>
      <c r="G814" s="218"/>
      <c r="H814" s="218"/>
      <c r="I814" s="218"/>
      <c r="J814" s="218"/>
      <c r="K814" s="218"/>
      <c r="L814" s="218"/>
      <c r="M814" s="273">
        <f>E814</f>
        <v>1</v>
      </c>
    </row>
    <row r="815" spans="1:13" x14ac:dyDescent="0.2">
      <c r="A815" s="231"/>
      <c r="B815" s="9"/>
      <c r="C815" s="7"/>
      <c r="D815" s="17"/>
      <c r="E815" s="218"/>
      <c r="F815" s="218"/>
      <c r="G815" s="218"/>
      <c r="H815" s="218"/>
      <c r="I815" s="218"/>
      <c r="J815" s="218"/>
      <c r="K815" s="218"/>
      <c r="L815" s="218"/>
      <c r="M815" s="273"/>
    </row>
    <row r="816" spans="1:13" x14ac:dyDescent="0.2">
      <c r="A816" s="231"/>
      <c r="B816" s="9"/>
      <c r="C816" s="7"/>
      <c r="D816" s="17"/>
      <c r="E816" s="218"/>
      <c r="F816" s="218"/>
      <c r="G816" s="218"/>
      <c r="H816" s="218"/>
      <c r="I816" s="218"/>
      <c r="J816" s="218"/>
      <c r="K816" s="218"/>
      <c r="L816" s="218"/>
      <c r="M816" s="273"/>
    </row>
    <row r="817" spans="1:13" ht="96" x14ac:dyDescent="0.2">
      <c r="A817" s="231" t="s">
        <v>117</v>
      </c>
      <c r="B817" s="9" t="s">
        <v>366</v>
      </c>
      <c r="C817" s="7" t="s">
        <v>285</v>
      </c>
      <c r="D817" s="17" t="s">
        <v>16</v>
      </c>
      <c r="E817" s="23"/>
      <c r="F817" s="218"/>
      <c r="G817" s="218"/>
      <c r="H817" s="218"/>
      <c r="I817" s="218"/>
      <c r="J817" s="218"/>
      <c r="K817" s="218"/>
      <c r="L817" s="218"/>
      <c r="M817" s="272">
        <f>SUM(M818,M824)</f>
        <v>5</v>
      </c>
    </row>
    <row r="818" spans="1:13" x14ac:dyDescent="0.2">
      <c r="A818" s="231"/>
      <c r="B818" s="9"/>
      <c r="C818" s="7" t="s">
        <v>151</v>
      </c>
      <c r="D818" s="17"/>
      <c r="E818" s="218"/>
      <c r="F818" s="218"/>
      <c r="G818" s="218"/>
      <c r="H818" s="218"/>
      <c r="I818" s="218"/>
      <c r="J818" s="218"/>
      <c r="K818" s="218"/>
      <c r="L818" s="218"/>
      <c r="M818" s="277">
        <f>SUM(M819:M822)</f>
        <v>4</v>
      </c>
    </row>
    <row r="819" spans="1:13" x14ac:dyDescent="0.2">
      <c r="A819" s="231"/>
      <c r="B819" s="9"/>
      <c r="C819" s="7" t="s">
        <v>437</v>
      </c>
      <c r="D819" s="139"/>
      <c r="E819" s="23">
        <v>1</v>
      </c>
      <c r="F819" s="218"/>
      <c r="G819" s="218"/>
      <c r="H819" s="218"/>
      <c r="I819" s="218"/>
      <c r="J819" s="218"/>
      <c r="K819" s="218"/>
      <c r="L819" s="218"/>
      <c r="M819" s="281">
        <f>E819</f>
        <v>1</v>
      </c>
    </row>
    <row r="820" spans="1:13" x14ac:dyDescent="0.2">
      <c r="A820" s="231"/>
      <c r="B820" s="9"/>
      <c r="C820" s="7" t="s">
        <v>438</v>
      </c>
      <c r="D820" s="139"/>
      <c r="E820" s="23">
        <v>1</v>
      </c>
      <c r="F820" s="218"/>
      <c r="G820" s="218"/>
      <c r="H820" s="218"/>
      <c r="I820" s="218"/>
      <c r="J820" s="218"/>
      <c r="K820" s="218"/>
      <c r="L820" s="218"/>
      <c r="M820" s="281">
        <f>E820</f>
        <v>1</v>
      </c>
    </row>
    <row r="821" spans="1:13" x14ac:dyDescent="0.2">
      <c r="A821" s="231"/>
      <c r="B821" s="9"/>
      <c r="C821" s="7" t="s">
        <v>428</v>
      </c>
      <c r="D821" s="139"/>
      <c r="E821" s="23">
        <v>1</v>
      </c>
      <c r="F821" s="218"/>
      <c r="G821" s="218"/>
      <c r="H821" s="218"/>
      <c r="I821" s="218"/>
      <c r="J821" s="218"/>
      <c r="K821" s="218"/>
      <c r="L821" s="218"/>
      <c r="M821" s="281">
        <f>E821</f>
        <v>1</v>
      </c>
    </row>
    <row r="822" spans="1:13" x14ac:dyDescent="0.2">
      <c r="A822" s="231"/>
      <c r="B822" s="9"/>
      <c r="C822" s="7" t="s">
        <v>659</v>
      </c>
      <c r="D822" s="139"/>
      <c r="E822" s="23">
        <v>1</v>
      </c>
      <c r="F822" s="218"/>
      <c r="G822" s="218"/>
      <c r="H822" s="218"/>
      <c r="I822" s="218"/>
      <c r="J822" s="218"/>
      <c r="K822" s="218"/>
      <c r="L822" s="218"/>
      <c r="M822" s="281">
        <f>E822</f>
        <v>1</v>
      </c>
    </row>
    <row r="823" spans="1:13" x14ac:dyDescent="0.2">
      <c r="A823" s="231"/>
      <c r="B823" s="9"/>
      <c r="C823" s="7"/>
      <c r="D823" s="139"/>
      <c r="E823" s="23"/>
      <c r="F823" s="218"/>
      <c r="G823" s="218"/>
      <c r="H823" s="218"/>
      <c r="I823" s="218"/>
      <c r="J823" s="218"/>
      <c r="K823" s="218"/>
      <c r="L823" s="218"/>
      <c r="M823" s="277"/>
    </row>
    <row r="824" spans="1:13" x14ac:dyDescent="0.2">
      <c r="A824" s="231"/>
      <c r="B824" s="9"/>
      <c r="C824" s="7" t="s">
        <v>152</v>
      </c>
      <c r="D824" s="139"/>
      <c r="E824" s="23"/>
      <c r="F824" s="218"/>
      <c r="G824" s="218"/>
      <c r="H824" s="218"/>
      <c r="I824" s="218"/>
      <c r="J824" s="218"/>
      <c r="K824" s="218"/>
      <c r="L824" s="218"/>
      <c r="M824" s="277">
        <f>SUM(M825:M825)</f>
        <v>1</v>
      </c>
    </row>
    <row r="825" spans="1:13" x14ac:dyDescent="0.2">
      <c r="A825" s="231"/>
      <c r="B825" s="9"/>
      <c r="C825" s="7" t="s">
        <v>660</v>
      </c>
      <c r="D825" s="139"/>
      <c r="E825" s="23">
        <v>1</v>
      </c>
      <c r="F825" s="218"/>
      <c r="G825" s="218"/>
      <c r="H825" s="218"/>
      <c r="I825" s="218"/>
      <c r="J825" s="218"/>
      <c r="K825" s="218"/>
      <c r="L825" s="218"/>
      <c r="M825" s="281">
        <f>E825</f>
        <v>1</v>
      </c>
    </row>
    <row r="826" spans="1:13" x14ac:dyDescent="0.2">
      <c r="A826" s="231"/>
      <c r="B826" s="9"/>
      <c r="C826" s="7"/>
      <c r="D826" s="139"/>
      <c r="E826" s="23"/>
      <c r="F826" s="218"/>
      <c r="G826" s="218"/>
      <c r="H826" s="218"/>
      <c r="I826" s="218"/>
      <c r="J826" s="218"/>
      <c r="K826" s="218"/>
      <c r="L826" s="218"/>
      <c r="M826" s="277"/>
    </row>
    <row r="827" spans="1:13" x14ac:dyDescent="0.2">
      <c r="A827" s="231"/>
      <c r="B827" s="9"/>
      <c r="C827" s="7"/>
      <c r="D827" s="139"/>
      <c r="E827" s="23"/>
      <c r="F827" s="218"/>
      <c r="G827" s="218"/>
      <c r="H827" s="218"/>
      <c r="I827" s="218"/>
      <c r="J827" s="218"/>
      <c r="K827" s="218"/>
      <c r="L827" s="218"/>
      <c r="M827" s="277"/>
    </row>
    <row r="828" spans="1:13" ht="108" x14ac:dyDescent="0.2">
      <c r="A828" s="231" t="s">
        <v>661</v>
      </c>
      <c r="B828" s="9" t="s">
        <v>367</v>
      </c>
      <c r="C828" s="7" t="s">
        <v>662</v>
      </c>
      <c r="D828" s="17" t="s">
        <v>16</v>
      </c>
      <c r="E828" s="23"/>
      <c r="F828" s="218"/>
      <c r="G828" s="218"/>
      <c r="H828" s="218"/>
      <c r="I828" s="218"/>
      <c r="J828" s="218"/>
      <c r="K828" s="218"/>
      <c r="L828" s="218"/>
      <c r="M828" s="272">
        <f>SUM(M829)</f>
        <v>4</v>
      </c>
    </row>
    <row r="829" spans="1:13" x14ac:dyDescent="0.2">
      <c r="A829" s="231"/>
      <c r="B829" s="9"/>
      <c r="C829" s="7" t="s">
        <v>152</v>
      </c>
      <c r="D829" s="139"/>
      <c r="E829" s="23"/>
      <c r="F829" s="218"/>
      <c r="G829" s="218"/>
      <c r="H829" s="218"/>
      <c r="I829" s="218"/>
      <c r="J829" s="218"/>
      <c r="K829" s="218"/>
      <c r="L829" s="218"/>
      <c r="M829" s="277">
        <f>SUM(M830)</f>
        <v>4</v>
      </c>
    </row>
    <row r="830" spans="1:13" x14ac:dyDescent="0.2">
      <c r="A830" s="231"/>
      <c r="B830" s="9"/>
      <c r="C830" s="7" t="s">
        <v>663</v>
      </c>
      <c r="D830" s="139"/>
      <c r="E830" s="23">
        <v>4</v>
      </c>
      <c r="F830" s="218"/>
      <c r="G830" s="218"/>
      <c r="H830" s="218"/>
      <c r="I830" s="218"/>
      <c r="J830" s="218"/>
      <c r="K830" s="218"/>
      <c r="L830" s="218"/>
      <c r="M830" s="281">
        <f>E830</f>
        <v>4</v>
      </c>
    </row>
    <row r="831" spans="1:13" x14ac:dyDescent="0.2">
      <c r="A831" s="231"/>
      <c r="B831" s="9"/>
      <c r="C831" s="7"/>
      <c r="D831" s="139"/>
      <c r="E831" s="23"/>
      <c r="F831" s="218"/>
      <c r="G831" s="218"/>
      <c r="H831" s="218"/>
      <c r="I831" s="218"/>
      <c r="J831" s="218"/>
      <c r="K831" s="218"/>
      <c r="L831" s="218"/>
      <c r="M831" s="277"/>
    </row>
    <row r="832" spans="1:13" x14ac:dyDescent="0.2">
      <c r="A832" s="231"/>
      <c r="B832" s="9"/>
      <c r="C832" s="7"/>
      <c r="D832" s="17"/>
      <c r="E832" s="218"/>
      <c r="F832" s="218"/>
      <c r="G832" s="218"/>
      <c r="H832" s="218"/>
      <c r="I832" s="218"/>
      <c r="J832" s="218"/>
      <c r="K832" s="218"/>
      <c r="L832" s="218"/>
      <c r="M832" s="277"/>
    </row>
    <row r="833" spans="1:13" ht="48" x14ac:dyDescent="0.2">
      <c r="A833" s="231" t="s">
        <v>118</v>
      </c>
      <c r="B833" s="9" t="s">
        <v>368</v>
      </c>
      <c r="C833" s="7" t="s">
        <v>286</v>
      </c>
      <c r="D833" s="17" t="s">
        <v>16</v>
      </c>
      <c r="E833" s="23"/>
      <c r="F833" s="218"/>
      <c r="G833" s="218"/>
      <c r="H833" s="218"/>
      <c r="I833" s="218"/>
      <c r="J833" s="218"/>
      <c r="K833" s="218"/>
      <c r="L833" s="218"/>
      <c r="M833" s="272">
        <f>SUM(M834,M840)</f>
        <v>5</v>
      </c>
    </row>
    <row r="834" spans="1:13" x14ac:dyDescent="0.2">
      <c r="A834" s="231"/>
      <c r="B834" s="9"/>
      <c r="C834" s="7" t="s">
        <v>151</v>
      </c>
      <c r="D834" s="17"/>
      <c r="E834" s="218"/>
      <c r="F834" s="218"/>
      <c r="G834" s="218"/>
      <c r="H834" s="218"/>
      <c r="I834" s="218"/>
      <c r="J834" s="218"/>
      <c r="K834" s="218"/>
      <c r="L834" s="218"/>
      <c r="M834" s="277">
        <f>SUM(M835:M838)</f>
        <v>4</v>
      </c>
    </row>
    <row r="835" spans="1:13" x14ac:dyDescent="0.2">
      <c r="A835" s="231"/>
      <c r="B835" s="9"/>
      <c r="C835" s="7" t="s">
        <v>437</v>
      </c>
      <c r="D835" s="17"/>
      <c r="E835" s="218">
        <v>1</v>
      </c>
      <c r="F835" s="218"/>
      <c r="G835" s="218"/>
      <c r="H835" s="218"/>
      <c r="I835" s="218"/>
      <c r="J835" s="218"/>
      <c r="K835" s="218"/>
      <c r="L835" s="218"/>
      <c r="M835" s="281">
        <f>E835</f>
        <v>1</v>
      </c>
    </row>
    <row r="836" spans="1:13" x14ac:dyDescent="0.2">
      <c r="A836" s="231"/>
      <c r="B836" s="9"/>
      <c r="C836" s="7" t="s">
        <v>438</v>
      </c>
      <c r="D836" s="17"/>
      <c r="E836" s="218">
        <v>1</v>
      </c>
      <c r="F836" s="218"/>
      <c r="G836" s="218"/>
      <c r="H836" s="218"/>
      <c r="I836" s="218"/>
      <c r="J836" s="218"/>
      <c r="K836" s="218"/>
      <c r="L836" s="218"/>
      <c r="M836" s="281">
        <f>E836</f>
        <v>1</v>
      </c>
    </row>
    <row r="837" spans="1:13" x14ac:dyDescent="0.2">
      <c r="A837" s="231"/>
      <c r="B837" s="9"/>
      <c r="C837" s="7" t="s">
        <v>428</v>
      </c>
      <c r="D837" s="17"/>
      <c r="E837" s="218">
        <v>1</v>
      </c>
      <c r="F837" s="218"/>
      <c r="G837" s="218"/>
      <c r="H837" s="218"/>
      <c r="I837" s="218"/>
      <c r="J837" s="218"/>
      <c r="K837" s="218"/>
      <c r="L837" s="218"/>
      <c r="M837" s="281">
        <f>E837</f>
        <v>1</v>
      </c>
    </row>
    <row r="838" spans="1:13" x14ac:dyDescent="0.2">
      <c r="A838" s="236"/>
      <c r="B838" s="344"/>
      <c r="C838" s="345" t="s">
        <v>659</v>
      </c>
      <c r="D838" s="348"/>
      <c r="E838" s="347">
        <v>1</v>
      </c>
      <c r="F838" s="347"/>
      <c r="G838" s="347"/>
      <c r="H838" s="347"/>
      <c r="I838" s="347"/>
      <c r="J838" s="347"/>
      <c r="K838" s="347"/>
      <c r="L838" s="347"/>
      <c r="M838" s="343">
        <f>E838</f>
        <v>1</v>
      </c>
    </row>
    <row r="839" spans="1:13" x14ac:dyDescent="0.2">
      <c r="A839" s="231"/>
      <c r="B839" s="9"/>
      <c r="C839" s="7"/>
      <c r="D839" s="17"/>
      <c r="E839" s="218"/>
      <c r="F839" s="218"/>
      <c r="G839" s="218"/>
      <c r="H839" s="218"/>
      <c r="I839" s="218"/>
      <c r="J839" s="218"/>
      <c r="K839" s="218"/>
      <c r="L839" s="218"/>
      <c r="M839" s="281"/>
    </row>
    <row r="840" spans="1:13" x14ac:dyDescent="0.2">
      <c r="A840" s="231"/>
      <c r="B840" s="9"/>
      <c r="C840" s="7" t="s">
        <v>152</v>
      </c>
      <c r="D840" s="17"/>
      <c r="E840" s="218"/>
      <c r="F840" s="218"/>
      <c r="G840" s="218"/>
      <c r="H840" s="218"/>
      <c r="I840" s="218"/>
      <c r="J840" s="218"/>
      <c r="K840" s="218"/>
      <c r="L840" s="218"/>
      <c r="M840" s="277">
        <f>SUM(M841:M843)</f>
        <v>1</v>
      </c>
    </row>
    <row r="841" spans="1:13" x14ac:dyDescent="0.2">
      <c r="A841" s="231"/>
      <c r="B841" s="9"/>
      <c r="C841" s="7" t="s">
        <v>660</v>
      </c>
      <c r="D841" s="17"/>
      <c r="E841" s="218">
        <v>1</v>
      </c>
      <c r="F841" s="218"/>
      <c r="G841" s="218"/>
      <c r="H841" s="218"/>
      <c r="I841" s="218"/>
      <c r="J841" s="218"/>
      <c r="K841" s="218"/>
      <c r="L841" s="218"/>
      <c r="M841" s="281">
        <f>E841</f>
        <v>1</v>
      </c>
    </row>
    <row r="842" spans="1:13" x14ac:dyDescent="0.2">
      <c r="A842" s="231"/>
      <c r="B842" s="9"/>
      <c r="C842" s="7"/>
      <c r="D842" s="17"/>
      <c r="E842" s="218"/>
      <c r="F842" s="218"/>
      <c r="G842" s="218"/>
      <c r="H842" s="218"/>
      <c r="I842" s="218"/>
      <c r="J842" s="218"/>
      <c r="K842" s="218"/>
      <c r="L842" s="218"/>
      <c r="M842" s="273"/>
    </row>
    <row r="843" spans="1:13" x14ac:dyDescent="0.2">
      <c r="A843" s="231"/>
      <c r="B843" s="9"/>
      <c r="C843" s="7"/>
      <c r="D843" s="17"/>
      <c r="E843" s="218"/>
      <c r="F843" s="218"/>
      <c r="G843" s="218"/>
      <c r="H843" s="218"/>
      <c r="I843" s="218"/>
      <c r="J843" s="218"/>
      <c r="K843" s="218"/>
      <c r="L843" s="218"/>
      <c r="M843" s="273"/>
    </row>
    <row r="844" spans="1:13" x14ac:dyDescent="0.2">
      <c r="A844" s="231"/>
      <c r="B844" s="9"/>
      <c r="C844" s="7"/>
      <c r="D844" s="17"/>
      <c r="E844" s="218"/>
      <c r="F844" s="218"/>
      <c r="G844" s="218"/>
      <c r="H844" s="218"/>
      <c r="I844" s="218"/>
      <c r="J844" s="218"/>
      <c r="K844" s="218"/>
      <c r="L844" s="218"/>
      <c r="M844" s="273"/>
    </row>
    <row r="845" spans="1:13" ht="48" x14ac:dyDescent="0.2">
      <c r="A845" s="231" t="s">
        <v>119</v>
      </c>
      <c r="B845" s="9" t="s">
        <v>369</v>
      </c>
      <c r="C845" s="7" t="s">
        <v>287</v>
      </c>
      <c r="D845" s="17" t="s">
        <v>16</v>
      </c>
      <c r="E845" s="23"/>
      <c r="F845" s="218"/>
      <c r="G845" s="218"/>
      <c r="H845" s="218"/>
      <c r="I845" s="218"/>
      <c r="J845" s="218"/>
      <c r="K845" s="218"/>
      <c r="L845" s="218"/>
      <c r="M845" s="272">
        <f>SUM(M846,M849)</f>
        <v>2</v>
      </c>
    </row>
    <row r="846" spans="1:13" x14ac:dyDescent="0.2">
      <c r="A846" s="231"/>
      <c r="B846" s="9"/>
      <c r="C846" s="7" t="s">
        <v>151</v>
      </c>
      <c r="D846" s="17"/>
      <c r="E846" s="218"/>
      <c r="F846" s="218"/>
      <c r="G846" s="218"/>
      <c r="H846" s="218"/>
      <c r="I846" s="218"/>
      <c r="J846" s="218"/>
      <c r="K846" s="218"/>
      <c r="L846" s="218"/>
      <c r="M846" s="277">
        <f>SUM(M847)</f>
        <v>1</v>
      </c>
    </row>
    <row r="847" spans="1:13" x14ac:dyDescent="0.2">
      <c r="A847" s="231"/>
      <c r="B847" s="9"/>
      <c r="C847" s="7" t="s">
        <v>165</v>
      </c>
      <c r="D847" s="17"/>
      <c r="E847" s="218">
        <v>1</v>
      </c>
      <c r="F847" s="218"/>
      <c r="G847" s="218"/>
      <c r="H847" s="218"/>
      <c r="I847" s="218"/>
      <c r="J847" s="218"/>
      <c r="K847" s="218"/>
      <c r="L847" s="218"/>
      <c r="M847" s="281">
        <f>E847</f>
        <v>1</v>
      </c>
    </row>
    <row r="848" spans="1:13" x14ac:dyDescent="0.2">
      <c r="A848" s="231"/>
      <c r="B848" s="9"/>
      <c r="C848" s="7"/>
      <c r="D848" s="17"/>
      <c r="E848" s="218"/>
      <c r="F848" s="218"/>
      <c r="G848" s="218"/>
      <c r="H848" s="218"/>
      <c r="I848" s="218"/>
      <c r="J848" s="218"/>
      <c r="K848" s="218"/>
      <c r="L848" s="218"/>
      <c r="M848" s="281"/>
    </row>
    <row r="849" spans="1:13" x14ac:dyDescent="0.2">
      <c r="A849" s="231"/>
      <c r="B849" s="9"/>
      <c r="C849" s="7" t="s">
        <v>152</v>
      </c>
      <c r="D849" s="17"/>
      <c r="E849" s="218"/>
      <c r="F849" s="218"/>
      <c r="G849" s="218"/>
      <c r="H849" s="218"/>
      <c r="I849" s="218"/>
      <c r="J849" s="218"/>
      <c r="K849" s="218"/>
      <c r="L849" s="218"/>
      <c r="M849" s="277">
        <f>SUM(M850)</f>
        <v>1</v>
      </c>
    </row>
    <row r="850" spans="1:13" x14ac:dyDescent="0.2">
      <c r="A850" s="231"/>
      <c r="B850" s="9"/>
      <c r="C850" s="7" t="s">
        <v>171</v>
      </c>
      <c r="D850" s="17"/>
      <c r="E850" s="218">
        <v>1</v>
      </c>
      <c r="F850" s="218"/>
      <c r="G850" s="218"/>
      <c r="H850" s="218"/>
      <c r="I850" s="218"/>
      <c r="J850" s="218"/>
      <c r="K850" s="218"/>
      <c r="L850" s="218"/>
      <c r="M850" s="273">
        <f>E850</f>
        <v>1</v>
      </c>
    </row>
    <row r="851" spans="1:13" x14ac:dyDescent="0.2">
      <c r="A851" s="231"/>
      <c r="B851" s="9"/>
      <c r="C851" s="7"/>
      <c r="D851" s="17"/>
      <c r="E851" s="218"/>
      <c r="F851" s="218"/>
      <c r="G851" s="218"/>
      <c r="H851" s="218"/>
      <c r="I851" s="218"/>
      <c r="J851" s="218"/>
      <c r="K851" s="218"/>
      <c r="L851" s="218"/>
      <c r="M851" s="273"/>
    </row>
    <row r="852" spans="1:13" x14ac:dyDescent="0.2">
      <c r="A852" s="231"/>
      <c r="B852" s="9"/>
      <c r="C852" s="7"/>
      <c r="D852" s="17"/>
      <c r="E852" s="218"/>
      <c r="F852" s="218"/>
      <c r="G852" s="218"/>
      <c r="H852" s="218"/>
      <c r="I852" s="218"/>
      <c r="J852" s="218"/>
      <c r="K852" s="218"/>
      <c r="L852" s="218"/>
      <c r="M852" s="273"/>
    </row>
    <row r="853" spans="1:13" ht="48" x14ac:dyDescent="0.2">
      <c r="A853" s="231" t="s">
        <v>120</v>
      </c>
      <c r="B853" s="9" t="s">
        <v>370</v>
      </c>
      <c r="C853" s="7" t="s">
        <v>288</v>
      </c>
      <c r="D853" s="17" t="s">
        <v>16</v>
      </c>
      <c r="E853" s="218"/>
      <c r="F853" s="218"/>
      <c r="G853" s="218"/>
      <c r="H853" s="218"/>
      <c r="I853" s="218"/>
      <c r="J853" s="218"/>
      <c r="K853" s="218"/>
      <c r="L853" s="218"/>
      <c r="M853" s="272">
        <f>SUM(M854)</f>
        <v>1</v>
      </c>
    </row>
    <row r="854" spans="1:13" x14ac:dyDescent="0.2">
      <c r="A854" s="231"/>
      <c r="B854" s="9"/>
      <c r="C854" s="7" t="s">
        <v>450</v>
      </c>
      <c r="D854" s="17"/>
      <c r="E854" s="218">
        <v>1</v>
      </c>
      <c r="F854" s="218"/>
      <c r="G854" s="218"/>
      <c r="H854" s="218"/>
      <c r="I854" s="218"/>
      <c r="J854" s="218"/>
      <c r="K854" s="218"/>
      <c r="L854" s="218"/>
      <c r="M854" s="273">
        <f>E854</f>
        <v>1</v>
      </c>
    </row>
    <row r="855" spans="1:13" x14ac:dyDescent="0.2">
      <c r="A855" s="231"/>
      <c r="B855" s="9"/>
      <c r="C855" s="7"/>
      <c r="D855" s="17"/>
      <c r="E855" s="218"/>
      <c r="F855" s="218"/>
      <c r="G855" s="218"/>
      <c r="H855" s="218"/>
      <c r="I855" s="218"/>
      <c r="J855" s="218"/>
      <c r="K855" s="218"/>
      <c r="L855" s="218"/>
      <c r="M855" s="273"/>
    </row>
    <row r="856" spans="1:13" x14ac:dyDescent="0.2">
      <c r="A856" s="231"/>
      <c r="B856" s="9"/>
      <c r="C856" s="7"/>
      <c r="D856" s="17"/>
      <c r="E856" s="218"/>
      <c r="F856" s="218"/>
      <c r="G856" s="218"/>
      <c r="H856" s="218"/>
      <c r="I856" s="218"/>
      <c r="J856" s="218"/>
      <c r="K856" s="218"/>
      <c r="L856" s="218"/>
      <c r="M856" s="273"/>
    </row>
    <row r="857" spans="1:13" ht="72" x14ac:dyDescent="0.2">
      <c r="A857" s="231" t="s">
        <v>664</v>
      </c>
      <c r="B857" s="9" t="s">
        <v>371</v>
      </c>
      <c r="C857" s="7" t="s">
        <v>665</v>
      </c>
      <c r="D857" s="17" t="s">
        <v>16</v>
      </c>
      <c r="E857" s="218"/>
      <c r="F857" s="218"/>
      <c r="G857" s="218"/>
      <c r="H857" s="218"/>
      <c r="I857" s="218"/>
      <c r="J857" s="218"/>
      <c r="K857" s="218"/>
      <c r="L857" s="218"/>
      <c r="M857" s="272">
        <f>SUM(M858)</f>
        <v>4</v>
      </c>
    </row>
    <row r="858" spans="1:13" x14ac:dyDescent="0.2">
      <c r="A858" s="231"/>
      <c r="B858" s="9"/>
      <c r="C858" s="7" t="s">
        <v>152</v>
      </c>
      <c r="D858" s="17"/>
      <c r="E858" s="218"/>
      <c r="F858" s="218"/>
      <c r="G858" s="218"/>
      <c r="H858" s="218"/>
      <c r="I858" s="218"/>
      <c r="J858" s="218"/>
      <c r="K858" s="218"/>
      <c r="L858" s="218"/>
      <c r="M858" s="282">
        <f>SUM(M859)</f>
        <v>4</v>
      </c>
    </row>
    <row r="859" spans="1:13" x14ac:dyDescent="0.2">
      <c r="A859" s="231"/>
      <c r="B859" s="9"/>
      <c r="C859" s="7" t="s">
        <v>441</v>
      </c>
      <c r="D859" s="17"/>
      <c r="E859" s="218">
        <v>4</v>
      </c>
      <c r="F859" s="218"/>
      <c r="G859" s="218"/>
      <c r="H859" s="218"/>
      <c r="I859" s="218"/>
      <c r="J859" s="218"/>
      <c r="K859" s="218"/>
      <c r="L859" s="218"/>
      <c r="M859" s="281">
        <f>E859</f>
        <v>4</v>
      </c>
    </row>
    <row r="860" spans="1:13" x14ac:dyDescent="0.2">
      <c r="A860" s="231"/>
      <c r="B860" s="9"/>
      <c r="C860" s="7"/>
      <c r="D860" s="8"/>
      <c r="E860" s="218"/>
      <c r="F860" s="218"/>
      <c r="G860" s="218"/>
      <c r="H860" s="218"/>
      <c r="I860" s="218"/>
      <c r="J860" s="218"/>
      <c r="K860" s="218"/>
      <c r="L860" s="218"/>
      <c r="M860" s="273"/>
    </row>
    <row r="861" spans="1:13" x14ac:dyDescent="0.2">
      <c r="A861" s="231"/>
      <c r="B861" s="9"/>
      <c r="C861" s="7"/>
      <c r="D861" s="8"/>
      <c r="E861" s="218"/>
      <c r="F861" s="218"/>
      <c r="G861" s="218"/>
      <c r="H861" s="218"/>
      <c r="I861" s="218"/>
      <c r="J861" s="218"/>
      <c r="K861" s="218"/>
      <c r="L861" s="218"/>
      <c r="M861" s="273"/>
    </row>
    <row r="862" spans="1:13" x14ac:dyDescent="0.2">
      <c r="A862" s="231"/>
      <c r="B862" s="9"/>
      <c r="C862" s="7"/>
      <c r="D862" s="8"/>
      <c r="E862" s="218"/>
      <c r="F862" s="218"/>
      <c r="G862" s="218"/>
      <c r="H862" s="218"/>
      <c r="I862" s="218"/>
      <c r="J862" s="218"/>
      <c r="K862" s="218"/>
      <c r="L862" s="218"/>
      <c r="M862" s="273"/>
    </row>
    <row r="863" spans="1:13" ht="24" x14ac:dyDescent="0.2">
      <c r="A863" s="231" t="s">
        <v>666</v>
      </c>
      <c r="B863" s="9" t="s">
        <v>372</v>
      </c>
      <c r="C863" s="7" t="s">
        <v>667</v>
      </c>
      <c r="D863" s="17" t="s">
        <v>16</v>
      </c>
      <c r="E863" s="218"/>
      <c r="F863" s="218"/>
      <c r="G863" s="218"/>
      <c r="H863" s="218"/>
      <c r="I863" s="218"/>
      <c r="J863" s="218"/>
      <c r="K863" s="218"/>
      <c r="L863" s="218"/>
      <c r="M863" s="272">
        <f>SUM(M864,M866,M869)</f>
        <v>3</v>
      </c>
    </row>
    <row r="864" spans="1:13" x14ac:dyDescent="0.2">
      <c r="A864" s="231"/>
      <c r="B864" s="9"/>
      <c r="C864" s="7" t="s">
        <v>150</v>
      </c>
      <c r="D864" s="17"/>
      <c r="E864" s="218">
        <v>1</v>
      </c>
      <c r="F864" s="218"/>
      <c r="G864" s="218"/>
      <c r="H864" s="218"/>
      <c r="I864" s="218"/>
      <c r="J864" s="218"/>
      <c r="K864" s="218"/>
      <c r="L864" s="218"/>
      <c r="M864" s="277">
        <f>E864</f>
        <v>1</v>
      </c>
    </row>
    <row r="865" spans="1:13" x14ac:dyDescent="0.2">
      <c r="A865" s="231"/>
      <c r="B865" s="9"/>
      <c r="C865" s="7"/>
      <c r="D865" s="17"/>
      <c r="E865" s="218"/>
      <c r="F865" s="218"/>
      <c r="G865" s="218"/>
      <c r="H865" s="218"/>
      <c r="I865" s="218"/>
      <c r="J865" s="218"/>
      <c r="K865" s="218"/>
      <c r="L865" s="218"/>
      <c r="M865" s="281"/>
    </row>
    <row r="866" spans="1:13" x14ac:dyDescent="0.2">
      <c r="A866" s="231"/>
      <c r="B866" s="9"/>
      <c r="C866" s="7" t="s">
        <v>151</v>
      </c>
      <c r="D866" s="17"/>
      <c r="E866" s="218"/>
      <c r="F866" s="218"/>
      <c r="G866" s="218"/>
      <c r="H866" s="218"/>
      <c r="I866" s="218"/>
      <c r="J866" s="218"/>
      <c r="K866" s="218"/>
      <c r="L866" s="218"/>
      <c r="M866" s="277">
        <f>SUM(M867)</f>
        <v>1</v>
      </c>
    </row>
    <row r="867" spans="1:13" x14ac:dyDescent="0.2">
      <c r="A867" s="231"/>
      <c r="B867" s="9"/>
      <c r="C867" s="7" t="s">
        <v>165</v>
      </c>
      <c r="D867" s="17"/>
      <c r="E867" s="218">
        <v>1</v>
      </c>
      <c r="F867" s="218"/>
      <c r="G867" s="218"/>
      <c r="H867" s="218"/>
      <c r="I867" s="218"/>
      <c r="J867" s="218"/>
      <c r="K867" s="218"/>
      <c r="L867" s="218"/>
      <c r="M867" s="281">
        <f>E867</f>
        <v>1</v>
      </c>
    </row>
    <row r="868" spans="1:13" x14ac:dyDescent="0.2">
      <c r="A868" s="231"/>
      <c r="B868" s="9"/>
      <c r="C868" s="7"/>
      <c r="D868" s="17"/>
      <c r="E868" s="218"/>
      <c r="F868" s="218"/>
      <c r="G868" s="218"/>
      <c r="H868" s="218"/>
      <c r="I868" s="218"/>
      <c r="J868" s="218"/>
      <c r="K868" s="218"/>
      <c r="L868" s="218"/>
      <c r="M868" s="277"/>
    </row>
    <row r="869" spans="1:13" x14ac:dyDescent="0.2">
      <c r="A869" s="231"/>
      <c r="B869" s="9"/>
      <c r="C869" s="7" t="s">
        <v>152</v>
      </c>
      <c r="D869" s="17"/>
      <c r="E869" s="218"/>
      <c r="F869" s="218"/>
      <c r="G869" s="218"/>
      <c r="H869" s="218"/>
      <c r="I869" s="218"/>
      <c r="J869" s="218"/>
      <c r="K869" s="218"/>
      <c r="L869" s="218"/>
      <c r="M869" s="277">
        <f>SUM(M870:M871)</f>
        <v>1</v>
      </c>
    </row>
    <row r="870" spans="1:13" x14ac:dyDescent="0.2">
      <c r="A870" s="231"/>
      <c r="B870" s="9"/>
      <c r="C870" s="7" t="s">
        <v>171</v>
      </c>
      <c r="D870" s="17"/>
      <c r="E870" s="218">
        <v>1</v>
      </c>
      <c r="F870" s="218"/>
      <c r="G870" s="218"/>
      <c r="H870" s="218"/>
      <c r="I870" s="218"/>
      <c r="J870" s="218"/>
      <c r="K870" s="218"/>
      <c r="L870" s="218"/>
      <c r="M870" s="281">
        <f>E870</f>
        <v>1</v>
      </c>
    </row>
    <row r="871" spans="1:13" x14ac:dyDescent="0.2">
      <c r="A871" s="231"/>
      <c r="B871" s="9"/>
      <c r="C871" s="7"/>
      <c r="D871" s="17"/>
      <c r="E871" s="218"/>
      <c r="F871" s="218"/>
      <c r="G871" s="218"/>
      <c r="H871" s="218"/>
      <c r="I871" s="218"/>
      <c r="J871" s="218"/>
      <c r="K871" s="218"/>
      <c r="L871" s="218"/>
      <c r="M871" s="277"/>
    </row>
    <row r="872" spans="1:13" x14ac:dyDescent="0.2">
      <c r="A872" s="231"/>
      <c r="B872" s="9"/>
      <c r="C872" s="7"/>
      <c r="D872" s="8"/>
      <c r="E872" s="218"/>
      <c r="F872" s="218"/>
      <c r="G872" s="218"/>
      <c r="H872" s="218"/>
      <c r="I872" s="218"/>
      <c r="J872" s="218"/>
      <c r="K872" s="218"/>
      <c r="L872" s="218"/>
      <c r="M872" s="273"/>
    </row>
    <row r="873" spans="1:13" x14ac:dyDescent="0.2">
      <c r="A873" s="274"/>
      <c r="B873" s="29" t="s">
        <v>124</v>
      </c>
      <c r="C873" s="30" t="s">
        <v>10</v>
      </c>
      <c r="D873" s="31"/>
      <c r="E873" s="31"/>
      <c r="F873" s="31"/>
      <c r="G873" s="31"/>
      <c r="H873" s="31"/>
      <c r="I873" s="31"/>
      <c r="J873" s="31"/>
      <c r="K873" s="31"/>
      <c r="L873" s="31"/>
      <c r="M873" s="275"/>
    </row>
    <row r="874" spans="1:13" ht="84" x14ac:dyDescent="0.2">
      <c r="A874" s="231" t="s">
        <v>121</v>
      </c>
      <c r="B874" s="9" t="s">
        <v>311</v>
      </c>
      <c r="C874" s="7" t="s">
        <v>289</v>
      </c>
      <c r="D874" s="17" t="s">
        <v>17</v>
      </c>
      <c r="E874" s="218"/>
      <c r="F874" s="218"/>
      <c r="G874" s="218"/>
      <c r="H874" s="218"/>
      <c r="I874" s="218"/>
      <c r="J874" s="218"/>
      <c r="K874" s="218"/>
      <c r="L874" s="218"/>
      <c r="M874" s="272">
        <f>SUM(M875)</f>
        <v>52.8</v>
      </c>
    </row>
    <row r="875" spans="1:13" x14ac:dyDescent="0.2">
      <c r="A875" s="231"/>
      <c r="B875" s="9"/>
      <c r="C875" s="7" t="s">
        <v>668</v>
      </c>
      <c r="D875" s="17"/>
      <c r="E875" s="218"/>
      <c r="F875" s="218">
        <v>9.6</v>
      </c>
      <c r="G875" s="218"/>
      <c r="H875" s="218">
        <v>5.5</v>
      </c>
      <c r="I875" s="218"/>
      <c r="J875" s="218"/>
      <c r="K875" s="218"/>
      <c r="L875" s="218"/>
      <c r="M875" s="277">
        <f>F875*H875</f>
        <v>52.8</v>
      </c>
    </row>
    <row r="876" spans="1:13" x14ac:dyDescent="0.2">
      <c r="A876" s="231"/>
      <c r="B876" s="9"/>
      <c r="C876" s="7"/>
      <c r="D876" s="17"/>
      <c r="E876" s="218"/>
      <c r="F876" s="218"/>
      <c r="G876" s="218"/>
      <c r="H876" s="218"/>
      <c r="I876" s="218"/>
      <c r="J876" s="218"/>
      <c r="K876" s="218"/>
      <c r="L876" s="218"/>
      <c r="M876" s="277"/>
    </row>
    <row r="877" spans="1:13" x14ac:dyDescent="0.2">
      <c r="A877" s="231"/>
      <c r="B877" s="9"/>
      <c r="C877" s="7"/>
      <c r="D877" s="17"/>
      <c r="E877" s="218"/>
      <c r="F877" s="218"/>
      <c r="G877" s="218"/>
      <c r="H877" s="218"/>
      <c r="I877" s="218"/>
      <c r="J877" s="218"/>
      <c r="K877" s="218"/>
      <c r="L877" s="218"/>
      <c r="M877" s="277"/>
    </row>
    <row r="878" spans="1:13" ht="48" x14ac:dyDescent="0.2">
      <c r="A878" s="231" t="s">
        <v>130</v>
      </c>
      <c r="B878" s="9" t="s">
        <v>373</v>
      </c>
      <c r="C878" s="7" t="s">
        <v>290</v>
      </c>
      <c r="D878" s="17" t="s">
        <v>17</v>
      </c>
      <c r="E878" s="218"/>
      <c r="F878" s="218"/>
      <c r="G878" s="218"/>
      <c r="H878" s="218"/>
      <c r="I878" s="218"/>
      <c r="J878" s="218"/>
      <c r="K878" s="218"/>
      <c r="L878" s="218"/>
      <c r="M878" s="284">
        <f>SUM(M879)</f>
        <v>26.4</v>
      </c>
    </row>
    <row r="879" spans="1:13" x14ac:dyDescent="0.2">
      <c r="A879" s="231"/>
      <c r="B879" s="9"/>
      <c r="C879" s="7"/>
      <c r="D879" s="17"/>
      <c r="E879" s="218"/>
      <c r="F879" s="218">
        <v>9.6</v>
      </c>
      <c r="G879" s="218"/>
      <c r="H879" s="218">
        <v>2.75</v>
      </c>
      <c r="I879" s="218"/>
      <c r="J879" s="218"/>
      <c r="K879" s="218"/>
      <c r="L879" s="218"/>
      <c r="M879" s="273">
        <f>F879*H879</f>
        <v>26.4</v>
      </c>
    </row>
    <row r="880" spans="1:13" x14ac:dyDescent="0.2">
      <c r="A880" s="231"/>
      <c r="B880" s="9"/>
      <c r="C880" s="7"/>
      <c r="D880" s="17"/>
      <c r="E880" s="218"/>
      <c r="F880" s="218"/>
      <c r="G880" s="218"/>
      <c r="H880" s="218"/>
      <c r="I880" s="218"/>
      <c r="J880" s="218"/>
      <c r="K880" s="218"/>
      <c r="L880" s="218"/>
      <c r="M880" s="273"/>
    </row>
    <row r="881" spans="1:13" x14ac:dyDescent="0.2">
      <c r="A881" s="231"/>
      <c r="B881" s="9"/>
      <c r="C881" s="7"/>
      <c r="D881" s="17"/>
      <c r="E881" s="218"/>
      <c r="F881" s="218"/>
      <c r="G881" s="218"/>
      <c r="H881" s="218"/>
      <c r="I881" s="218"/>
      <c r="J881" s="218"/>
      <c r="K881" s="218"/>
      <c r="L881" s="218"/>
      <c r="M881" s="273"/>
    </row>
    <row r="882" spans="1:13" ht="36" x14ac:dyDescent="0.2">
      <c r="A882" s="231" t="s">
        <v>131</v>
      </c>
      <c r="B882" s="9" t="s">
        <v>374</v>
      </c>
      <c r="C882" s="7" t="s">
        <v>291</v>
      </c>
      <c r="D882" s="17" t="s">
        <v>17</v>
      </c>
      <c r="E882" s="218"/>
      <c r="F882" s="218"/>
      <c r="G882" s="218"/>
      <c r="H882" s="218"/>
      <c r="I882" s="218"/>
      <c r="J882" s="218"/>
      <c r="K882" s="218"/>
      <c r="L882" s="218"/>
      <c r="M882" s="284">
        <f>SUM(M883)</f>
        <v>52.8</v>
      </c>
    </row>
    <row r="883" spans="1:13" x14ac:dyDescent="0.2">
      <c r="A883" s="231"/>
      <c r="B883" s="9"/>
      <c r="C883" s="7"/>
      <c r="D883" s="17"/>
      <c r="E883" s="218"/>
      <c r="F883" s="218">
        <v>9.6</v>
      </c>
      <c r="G883" s="218"/>
      <c r="H883" s="218">
        <v>5.5</v>
      </c>
      <c r="I883" s="218"/>
      <c r="J883" s="218"/>
      <c r="K883" s="218"/>
      <c r="L883" s="218"/>
      <c r="M883" s="277">
        <f>F883*H883</f>
        <v>52.8</v>
      </c>
    </row>
    <row r="884" spans="1:13" x14ac:dyDescent="0.2">
      <c r="A884" s="231"/>
      <c r="B884" s="9"/>
      <c r="C884" s="7"/>
      <c r="D884" s="17"/>
      <c r="E884" s="218"/>
      <c r="F884" s="218"/>
      <c r="G884" s="218"/>
      <c r="H884" s="218"/>
      <c r="I884" s="218"/>
      <c r="J884" s="218"/>
      <c r="K884" s="218"/>
      <c r="L884" s="218"/>
      <c r="M884" s="273"/>
    </row>
    <row r="885" spans="1:13" ht="36" x14ac:dyDescent="0.2">
      <c r="A885" s="231" t="s">
        <v>128</v>
      </c>
      <c r="B885" s="9" t="s">
        <v>375</v>
      </c>
      <c r="C885" s="7" t="s">
        <v>129</v>
      </c>
      <c r="D885" s="17" t="s">
        <v>45</v>
      </c>
      <c r="E885" s="218"/>
      <c r="F885" s="218"/>
      <c r="G885" s="218"/>
      <c r="H885" s="218"/>
      <c r="I885" s="218"/>
      <c r="J885" s="218"/>
      <c r="K885" s="218"/>
      <c r="L885" s="218"/>
      <c r="M885" s="284">
        <f>SUM(M886)</f>
        <v>9.6</v>
      </c>
    </row>
    <row r="886" spans="1:13" x14ac:dyDescent="0.2">
      <c r="A886" s="231"/>
      <c r="B886" s="9"/>
      <c r="C886" s="7"/>
      <c r="D886" s="17"/>
      <c r="E886" s="218"/>
      <c r="F886" s="218">
        <v>9.6</v>
      </c>
      <c r="G886" s="218"/>
      <c r="H886" s="218"/>
      <c r="I886" s="218"/>
      <c r="J886" s="218"/>
      <c r="K886" s="218"/>
      <c r="L886" s="218"/>
      <c r="M886" s="273">
        <f>F886</f>
        <v>9.6</v>
      </c>
    </row>
    <row r="887" spans="1:13" x14ac:dyDescent="0.2">
      <c r="A887" s="231"/>
      <c r="B887" s="9"/>
      <c r="C887" s="7"/>
      <c r="D887" s="17"/>
      <c r="E887" s="218"/>
      <c r="F887" s="218"/>
      <c r="G887" s="218"/>
      <c r="H887" s="218"/>
      <c r="I887" s="218"/>
      <c r="J887" s="218"/>
      <c r="K887" s="218"/>
      <c r="L887" s="218"/>
      <c r="M887" s="273"/>
    </row>
    <row r="888" spans="1:13" ht="132" x14ac:dyDescent="0.2">
      <c r="A888" s="231" t="s">
        <v>122</v>
      </c>
      <c r="B888" s="9" t="s">
        <v>376</v>
      </c>
      <c r="C888" s="7" t="s">
        <v>292</v>
      </c>
      <c r="D888" s="17" t="s">
        <v>17</v>
      </c>
      <c r="E888" s="218"/>
      <c r="F888" s="218"/>
      <c r="G888" s="218"/>
      <c r="H888" s="218"/>
      <c r="I888" s="218"/>
      <c r="J888" s="218"/>
      <c r="K888" s="218"/>
      <c r="L888" s="218"/>
      <c r="M888" s="272">
        <f>SUM(M890)</f>
        <v>30.8</v>
      </c>
    </row>
    <row r="889" spans="1:13" x14ac:dyDescent="0.2">
      <c r="A889" s="231"/>
      <c r="B889" s="9"/>
      <c r="C889" s="11" t="s">
        <v>670</v>
      </c>
      <c r="D889" s="10"/>
      <c r="E889" s="218"/>
      <c r="F889" s="218"/>
      <c r="G889" s="218"/>
      <c r="H889" s="218"/>
      <c r="I889" s="218"/>
      <c r="J889" s="218"/>
      <c r="K889" s="218"/>
      <c r="L889" s="218"/>
      <c r="M889" s="273"/>
    </row>
    <row r="890" spans="1:13" x14ac:dyDescent="0.2">
      <c r="A890" s="231"/>
      <c r="B890" s="9"/>
      <c r="C890" s="7" t="s">
        <v>669</v>
      </c>
      <c r="D890" s="17"/>
      <c r="E890" s="218"/>
      <c r="F890" s="218"/>
      <c r="G890" s="218">
        <v>30.8</v>
      </c>
      <c r="H890" s="218">
        <v>1</v>
      </c>
      <c r="I890" s="218"/>
      <c r="J890" s="218">
        <f>G890*H890</f>
        <v>30.8</v>
      </c>
      <c r="K890" s="218"/>
      <c r="L890" s="218"/>
      <c r="M890" s="273">
        <f>J890</f>
        <v>30.8</v>
      </c>
    </row>
    <row r="891" spans="1:13" x14ac:dyDescent="0.2">
      <c r="A891" s="231"/>
      <c r="B891" s="9"/>
      <c r="C891" s="7"/>
      <c r="D891" s="17"/>
      <c r="E891" s="218"/>
      <c r="F891" s="218"/>
      <c r="G891" s="218"/>
      <c r="H891" s="218"/>
      <c r="I891" s="218"/>
      <c r="J891" s="218"/>
      <c r="K891" s="218"/>
      <c r="L891" s="218"/>
      <c r="M891" s="273"/>
    </row>
    <row r="892" spans="1:13" x14ac:dyDescent="0.2">
      <c r="A892" s="231"/>
      <c r="B892" s="9"/>
      <c r="C892" s="7"/>
      <c r="D892" s="17"/>
      <c r="E892" s="218"/>
      <c r="F892" s="218"/>
      <c r="G892" s="218"/>
      <c r="H892" s="218"/>
      <c r="I892" s="218"/>
      <c r="J892" s="218"/>
      <c r="K892" s="218"/>
      <c r="L892" s="218"/>
      <c r="M892" s="273"/>
    </row>
    <row r="893" spans="1:13" x14ac:dyDescent="0.2">
      <c r="A893" s="289"/>
      <c r="B893" s="174" t="s">
        <v>125</v>
      </c>
      <c r="C893" s="175" t="s">
        <v>996</v>
      </c>
      <c r="D893" s="176"/>
      <c r="E893" s="177"/>
      <c r="F893" s="177"/>
      <c r="G893" s="177"/>
      <c r="H893" s="177"/>
      <c r="I893" s="177"/>
      <c r="J893" s="177"/>
      <c r="K893" s="177"/>
      <c r="L893" s="177"/>
      <c r="M893" s="290"/>
    </row>
    <row r="894" spans="1:13" x14ac:dyDescent="0.2">
      <c r="A894" s="231"/>
      <c r="B894" s="9"/>
      <c r="C894" s="7"/>
      <c r="D894" s="17"/>
      <c r="E894" s="218"/>
      <c r="F894" s="218"/>
      <c r="G894" s="218"/>
      <c r="H894" s="218"/>
      <c r="I894" s="218"/>
      <c r="J894" s="218"/>
      <c r="K894" s="218"/>
      <c r="L894" s="218"/>
      <c r="M894" s="273"/>
    </row>
    <row r="895" spans="1:13" x14ac:dyDescent="0.2">
      <c r="A895" s="231"/>
      <c r="B895" s="9" t="s">
        <v>312</v>
      </c>
      <c r="C895" s="7" t="s">
        <v>997</v>
      </c>
      <c r="D895" s="17"/>
      <c r="E895" s="218"/>
      <c r="F895" s="218"/>
      <c r="G895" s="218"/>
      <c r="H895" s="218"/>
      <c r="I895" s="218"/>
      <c r="J895" s="218"/>
      <c r="K895" s="218"/>
      <c r="L895" s="218"/>
      <c r="M895" s="273"/>
    </row>
    <row r="896" spans="1:13" x14ac:dyDescent="0.2">
      <c r="A896" s="231"/>
      <c r="B896" s="9"/>
      <c r="C896" s="7"/>
      <c r="D896" s="17"/>
      <c r="E896" s="218"/>
      <c r="F896" s="218"/>
      <c r="G896" s="218"/>
      <c r="H896" s="218"/>
      <c r="I896" s="218"/>
      <c r="J896" s="218"/>
      <c r="K896" s="218"/>
      <c r="L896" s="218"/>
      <c r="M896" s="273"/>
    </row>
    <row r="897" spans="1:13" ht="60" x14ac:dyDescent="0.2">
      <c r="A897" s="247" t="s">
        <v>801</v>
      </c>
      <c r="B897" s="172" t="s">
        <v>1005</v>
      </c>
      <c r="C897" s="171" t="s">
        <v>802</v>
      </c>
      <c r="D897" s="165" t="s">
        <v>803</v>
      </c>
      <c r="E897" s="166"/>
      <c r="F897" s="178"/>
      <c r="G897" s="179"/>
      <c r="H897" s="180"/>
      <c r="I897" s="180"/>
      <c r="J897" s="180"/>
      <c r="K897" s="180"/>
      <c r="L897" s="179"/>
      <c r="M897" s="246">
        <v>70</v>
      </c>
    </row>
    <row r="898" spans="1:13" x14ac:dyDescent="0.2">
      <c r="A898" s="247"/>
      <c r="B898" s="172"/>
      <c r="C898" s="171"/>
      <c r="D898" s="165"/>
      <c r="E898" s="166"/>
      <c r="F898" s="178"/>
      <c r="G898" s="179">
        <v>70</v>
      </c>
      <c r="H898" s="180"/>
      <c r="I898" s="180"/>
      <c r="J898" s="180"/>
      <c r="K898" s="180"/>
      <c r="L898" s="179"/>
      <c r="M898" s="291">
        <v>70</v>
      </c>
    </row>
    <row r="899" spans="1:13" ht="60" x14ac:dyDescent="0.2">
      <c r="A899" s="247" t="s">
        <v>804</v>
      </c>
      <c r="B899" s="172" t="s">
        <v>1006</v>
      </c>
      <c r="C899" s="171" t="s">
        <v>805</v>
      </c>
      <c r="D899" s="172" t="s">
        <v>803</v>
      </c>
      <c r="E899" s="166"/>
      <c r="F899" s="178"/>
      <c r="G899" s="179"/>
      <c r="H899" s="180"/>
      <c r="I899" s="180"/>
      <c r="J899" s="180"/>
      <c r="K899" s="180"/>
      <c r="L899" s="179"/>
      <c r="M899" s="246">
        <v>45</v>
      </c>
    </row>
    <row r="900" spans="1:13" x14ac:dyDescent="0.2">
      <c r="A900" s="247"/>
      <c r="B900" s="172"/>
      <c r="C900" s="171"/>
      <c r="D900" s="172"/>
      <c r="E900" s="166"/>
      <c r="F900" s="178"/>
      <c r="G900" s="179">
        <v>45</v>
      </c>
      <c r="H900" s="180"/>
      <c r="I900" s="180"/>
      <c r="J900" s="180"/>
      <c r="K900" s="180"/>
      <c r="L900" s="179"/>
      <c r="M900" s="291">
        <v>45</v>
      </c>
    </row>
    <row r="901" spans="1:13" ht="48" x14ac:dyDescent="0.2">
      <c r="A901" s="247" t="s">
        <v>806</v>
      </c>
      <c r="B901" s="172" t="s">
        <v>1007</v>
      </c>
      <c r="C901" s="171" t="s">
        <v>807</v>
      </c>
      <c r="D901" s="165" t="s">
        <v>803</v>
      </c>
      <c r="E901" s="166"/>
      <c r="F901" s="178"/>
      <c r="G901" s="179"/>
      <c r="H901" s="180"/>
      <c r="I901" s="180"/>
      <c r="J901" s="180"/>
      <c r="K901" s="180"/>
      <c r="L901" s="179"/>
      <c r="M901" s="246">
        <v>160</v>
      </c>
    </row>
    <row r="902" spans="1:13" x14ac:dyDescent="0.2">
      <c r="A902" s="248"/>
      <c r="B902" s="181"/>
      <c r="C902" s="173"/>
      <c r="D902" s="166"/>
      <c r="E902" s="165"/>
      <c r="F902" s="182"/>
      <c r="G902" s="179">
        <v>160</v>
      </c>
      <c r="H902" s="180"/>
      <c r="I902" s="180"/>
      <c r="J902" s="180"/>
      <c r="K902" s="180"/>
      <c r="L902" s="179"/>
      <c r="M902" s="291">
        <v>160</v>
      </c>
    </row>
    <row r="903" spans="1:13" ht="36" x14ac:dyDescent="0.2">
      <c r="A903" s="248" t="s">
        <v>808</v>
      </c>
      <c r="B903" s="172" t="s">
        <v>1008</v>
      </c>
      <c r="C903" s="173" t="s">
        <v>809</v>
      </c>
      <c r="D903" s="166" t="s">
        <v>810</v>
      </c>
      <c r="E903" s="168"/>
      <c r="F903" s="183"/>
      <c r="G903" s="179"/>
      <c r="H903" s="180"/>
      <c r="I903" s="180"/>
      <c r="J903" s="180"/>
      <c r="K903" s="180"/>
      <c r="L903" s="179"/>
      <c r="M903" s="246">
        <v>122</v>
      </c>
    </row>
    <row r="904" spans="1:13" x14ac:dyDescent="0.2">
      <c r="A904" s="247"/>
      <c r="B904" s="172"/>
      <c r="C904" s="171"/>
      <c r="D904" s="172"/>
      <c r="E904" s="166">
        <v>122</v>
      </c>
      <c r="F904" s="178"/>
      <c r="G904" s="179"/>
      <c r="H904" s="180"/>
      <c r="I904" s="180"/>
      <c r="J904" s="180"/>
      <c r="K904" s="180"/>
      <c r="L904" s="179"/>
      <c r="M904" s="291">
        <v>122</v>
      </c>
    </row>
    <row r="905" spans="1:13" ht="72" x14ac:dyDescent="0.2">
      <c r="A905" s="249" t="s">
        <v>811</v>
      </c>
      <c r="B905" s="172" t="s">
        <v>1009</v>
      </c>
      <c r="C905" s="171" t="s">
        <v>812</v>
      </c>
      <c r="D905" s="165" t="s">
        <v>810</v>
      </c>
      <c r="E905" s="166"/>
      <c r="F905" s="178"/>
      <c r="G905" s="179"/>
      <c r="H905" s="180"/>
      <c r="I905" s="180"/>
      <c r="J905" s="180"/>
      <c r="K905" s="180"/>
      <c r="L905" s="179"/>
      <c r="M905" s="246">
        <v>69</v>
      </c>
    </row>
    <row r="906" spans="1:13" x14ac:dyDescent="0.2">
      <c r="A906" s="247"/>
      <c r="B906" s="172"/>
      <c r="C906" s="171"/>
      <c r="D906" s="172"/>
      <c r="E906" s="166">
        <v>69</v>
      </c>
      <c r="F906" s="178"/>
      <c r="G906" s="179"/>
      <c r="H906" s="180"/>
      <c r="I906" s="180"/>
      <c r="J906" s="180"/>
      <c r="K906" s="180"/>
      <c r="L906" s="179"/>
      <c r="M906" s="291">
        <v>69</v>
      </c>
    </row>
    <row r="907" spans="1:13" ht="72" x14ac:dyDescent="0.2">
      <c r="A907" s="247" t="s">
        <v>813</v>
      </c>
      <c r="B907" s="172" t="s">
        <v>1010</v>
      </c>
      <c r="C907" s="171" t="s">
        <v>814</v>
      </c>
      <c r="D907" s="165" t="s">
        <v>810</v>
      </c>
      <c r="E907" s="166"/>
      <c r="F907" s="178"/>
      <c r="G907" s="179"/>
      <c r="H907" s="180"/>
      <c r="I907" s="180"/>
      <c r="J907" s="180"/>
      <c r="K907" s="180"/>
      <c r="L907" s="179"/>
      <c r="M907" s="246">
        <v>49</v>
      </c>
    </row>
    <row r="908" spans="1:13" x14ac:dyDescent="0.2">
      <c r="A908" s="247"/>
      <c r="B908" s="172"/>
      <c r="C908" s="171"/>
      <c r="D908" s="172"/>
      <c r="E908" s="166">
        <v>49</v>
      </c>
      <c r="F908" s="178"/>
      <c r="G908" s="180"/>
      <c r="H908" s="180"/>
      <c r="I908" s="180"/>
      <c r="J908" s="180"/>
      <c r="K908" s="180"/>
      <c r="L908" s="179"/>
      <c r="M908" s="291">
        <v>49</v>
      </c>
    </row>
    <row r="909" spans="1:13" ht="72" x14ac:dyDescent="0.2">
      <c r="A909" s="247" t="s">
        <v>815</v>
      </c>
      <c r="B909" s="172" t="s">
        <v>1011</v>
      </c>
      <c r="C909" s="171" t="s">
        <v>816</v>
      </c>
      <c r="D909" s="165" t="s">
        <v>810</v>
      </c>
      <c r="E909" s="166"/>
      <c r="F909" s="178"/>
      <c r="G909" s="180"/>
      <c r="H909" s="180"/>
      <c r="I909" s="180"/>
      <c r="J909" s="180"/>
      <c r="K909" s="180"/>
      <c r="L909" s="179"/>
      <c r="M909" s="246">
        <v>18</v>
      </c>
    </row>
    <row r="910" spans="1:13" x14ac:dyDescent="0.2">
      <c r="A910" s="247"/>
      <c r="B910" s="172"/>
      <c r="C910" s="171"/>
      <c r="D910" s="172"/>
      <c r="E910" s="166">
        <v>18</v>
      </c>
      <c r="F910" s="178"/>
      <c r="G910" s="180"/>
      <c r="H910" s="180"/>
      <c r="I910" s="180"/>
      <c r="J910" s="180"/>
      <c r="K910" s="180"/>
      <c r="L910" s="179"/>
      <c r="M910" s="291">
        <v>18</v>
      </c>
    </row>
    <row r="911" spans="1:13" ht="84" x14ac:dyDescent="0.2">
      <c r="A911" s="247" t="s">
        <v>817</v>
      </c>
      <c r="B911" s="172" t="s">
        <v>1012</v>
      </c>
      <c r="C911" s="171" t="s">
        <v>818</v>
      </c>
      <c r="D911" s="165" t="s">
        <v>810</v>
      </c>
      <c r="E911" s="166"/>
      <c r="F911" s="178"/>
      <c r="G911" s="180"/>
      <c r="H911" s="180"/>
      <c r="I911" s="180"/>
      <c r="J911" s="180"/>
      <c r="K911" s="180"/>
      <c r="L911" s="179"/>
      <c r="M911" s="246">
        <v>3</v>
      </c>
    </row>
    <row r="912" spans="1:13" x14ac:dyDescent="0.2">
      <c r="A912" s="247"/>
      <c r="B912" s="172"/>
      <c r="C912" s="171"/>
      <c r="D912" s="172"/>
      <c r="E912" s="166">
        <v>3</v>
      </c>
      <c r="F912" s="178"/>
      <c r="G912" s="180"/>
      <c r="H912" s="180"/>
      <c r="I912" s="180"/>
      <c r="J912" s="180"/>
      <c r="K912" s="180"/>
      <c r="L912" s="179"/>
      <c r="M912" s="291">
        <v>3</v>
      </c>
    </row>
    <row r="913" spans="1:13" ht="36" x14ac:dyDescent="0.2">
      <c r="A913" s="247" t="s">
        <v>819</v>
      </c>
      <c r="B913" s="172" t="s">
        <v>1013</v>
      </c>
      <c r="C913" s="171" t="s">
        <v>820</v>
      </c>
      <c r="D913" s="165" t="s">
        <v>810</v>
      </c>
      <c r="E913" s="166"/>
      <c r="F913" s="178"/>
      <c r="G913" s="180"/>
      <c r="H913" s="180"/>
      <c r="I913" s="180"/>
      <c r="J913" s="180"/>
      <c r="K913" s="180"/>
      <c r="L913" s="179"/>
      <c r="M913" s="246">
        <v>21</v>
      </c>
    </row>
    <row r="914" spans="1:13" x14ac:dyDescent="0.2">
      <c r="A914" s="247"/>
      <c r="B914" s="172"/>
      <c r="C914" s="171"/>
      <c r="D914" s="165"/>
      <c r="E914" s="166">
        <v>21</v>
      </c>
      <c r="F914" s="178"/>
      <c r="G914" s="180"/>
      <c r="H914" s="180"/>
      <c r="I914" s="180"/>
      <c r="J914" s="180"/>
      <c r="K914" s="180"/>
      <c r="L914" s="179"/>
      <c r="M914" s="291">
        <v>21</v>
      </c>
    </row>
    <row r="915" spans="1:13" ht="36" x14ac:dyDescent="0.2">
      <c r="A915" s="247" t="s">
        <v>821</v>
      </c>
      <c r="B915" s="172" t="s">
        <v>919</v>
      </c>
      <c r="C915" s="171" t="s">
        <v>822</v>
      </c>
      <c r="D915" s="165" t="s">
        <v>810</v>
      </c>
      <c r="E915" s="166"/>
      <c r="F915" s="178"/>
      <c r="G915" s="180"/>
      <c r="H915" s="180"/>
      <c r="I915" s="180"/>
      <c r="J915" s="180"/>
      <c r="K915" s="180"/>
      <c r="L915" s="179"/>
      <c r="M915" s="246">
        <v>1</v>
      </c>
    </row>
    <row r="916" spans="1:13" x14ac:dyDescent="0.2">
      <c r="A916" s="247"/>
      <c r="B916" s="172"/>
      <c r="C916" s="171"/>
      <c r="D916" s="165"/>
      <c r="E916" s="166">
        <v>1</v>
      </c>
      <c r="F916" s="178"/>
      <c r="G916" s="180"/>
      <c r="H916" s="180"/>
      <c r="I916" s="180"/>
      <c r="J916" s="180"/>
      <c r="K916" s="180"/>
      <c r="L916" s="179"/>
      <c r="M916" s="291">
        <v>1</v>
      </c>
    </row>
    <row r="917" spans="1:13" ht="36" x14ac:dyDescent="0.2">
      <c r="A917" s="247" t="s">
        <v>823</v>
      </c>
      <c r="B917" s="172" t="s">
        <v>920</v>
      </c>
      <c r="C917" s="171" t="s">
        <v>824</v>
      </c>
      <c r="D917" s="165" t="s">
        <v>810</v>
      </c>
      <c r="E917" s="165"/>
      <c r="F917" s="178"/>
      <c r="G917" s="180"/>
      <c r="H917" s="180"/>
      <c r="I917" s="180"/>
      <c r="J917" s="180"/>
      <c r="K917" s="180"/>
      <c r="L917" s="179"/>
      <c r="M917" s="246">
        <v>2</v>
      </c>
    </row>
    <row r="918" spans="1:13" x14ac:dyDescent="0.2">
      <c r="A918" s="247"/>
      <c r="B918" s="172"/>
      <c r="C918" s="171"/>
      <c r="D918" s="165"/>
      <c r="E918" s="166">
        <v>2</v>
      </c>
      <c r="F918" s="178"/>
      <c r="G918" s="180"/>
      <c r="H918" s="180"/>
      <c r="I918" s="180"/>
      <c r="J918" s="180"/>
      <c r="K918" s="180"/>
      <c r="L918" s="179"/>
      <c r="M918" s="291">
        <v>2</v>
      </c>
    </row>
    <row r="919" spans="1:13" ht="36" x14ac:dyDescent="0.2">
      <c r="A919" s="247" t="s">
        <v>825</v>
      </c>
      <c r="B919" s="172" t="s">
        <v>921</v>
      </c>
      <c r="C919" s="171" t="s">
        <v>826</v>
      </c>
      <c r="D919" s="165" t="s">
        <v>810</v>
      </c>
      <c r="E919" s="166"/>
      <c r="F919" s="178"/>
      <c r="G919" s="180"/>
      <c r="H919" s="180"/>
      <c r="I919" s="180"/>
      <c r="J919" s="180"/>
      <c r="K919" s="180"/>
      <c r="L919" s="179"/>
      <c r="M919" s="246">
        <v>12</v>
      </c>
    </row>
    <row r="920" spans="1:13" x14ac:dyDescent="0.2">
      <c r="A920" s="247"/>
      <c r="B920" s="172"/>
      <c r="C920" s="171"/>
      <c r="D920" s="172"/>
      <c r="E920" s="166">
        <v>12</v>
      </c>
      <c r="F920" s="178"/>
      <c r="G920" s="180"/>
      <c r="H920" s="180"/>
      <c r="I920" s="180"/>
      <c r="J920" s="180"/>
      <c r="K920" s="180"/>
      <c r="L920" s="179"/>
      <c r="M920" s="291">
        <v>12</v>
      </c>
    </row>
    <row r="921" spans="1:13" ht="24" x14ac:dyDescent="0.2">
      <c r="A921" s="247" t="s">
        <v>827</v>
      </c>
      <c r="B921" s="172" t="s">
        <v>922</v>
      </c>
      <c r="C921" s="171" t="s">
        <v>828</v>
      </c>
      <c r="D921" s="165" t="s">
        <v>810</v>
      </c>
      <c r="E921" s="166"/>
      <c r="F921" s="178"/>
      <c r="G921" s="180"/>
      <c r="H921" s="180"/>
      <c r="I921" s="180"/>
      <c r="J921" s="180"/>
      <c r="K921" s="180"/>
      <c r="L921" s="179"/>
      <c r="M921" s="246">
        <v>4</v>
      </c>
    </row>
    <row r="922" spans="1:13" x14ac:dyDescent="0.2">
      <c r="A922" s="247"/>
      <c r="B922" s="172"/>
      <c r="C922" s="171"/>
      <c r="D922" s="165"/>
      <c r="E922" s="166">
        <v>4</v>
      </c>
      <c r="F922" s="178"/>
      <c r="G922" s="180"/>
      <c r="H922" s="180"/>
      <c r="I922" s="180"/>
      <c r="J922" s="180"/>
      <c r="K922" s="180"/>
      <c r="L922" s="179"/>
      <c r="M922" s="291">
        <v>4</v>
      </c>
    </row>
    <row r="923" spans="1:13" ht="24" x14ac:dyDescent="0.2">
      <c r="A923" s="247" t="s">
        <v>827</v>
      </c>
      <c r="B923" s="172" t="s">
        <v>923</v>
      </c>
      <c r="C923" s="171" t="s">
        <v>829</v>
      </c>
      <c r="D923" s="165" t="s">
        <v>810</v>
      </c>
      <c r="E923" s="166"/>
      <c r="F923" s="178"/>
      <c r="G923" s="180"/>
      <c r="H923" s="180"/>
      <c r="I923" s="180"/>
      <c r="J923" s="180"/>
      <c r="K923" s="180"/>
      <c r="L923" s="179"/>
      <c r="M923" s="246">
        <v>19</v>
      </c>
    </row>
    <row r="924" spans="1:13" x14ac:dyDescent="0.2">
      <c r="A924" s="247"/>
      <c r="B924" s="172"/>
      <c r="C924" s="171"/>
      <c r="D924" s="165"/>
      <c r="E924" s="166">
        <v>19</v>
      </c>
      <c r="F924" s="178"/>
      <c r="G924" s="180"/>
      <c r="H924" s="180"/>
      <c r="I924" s="180"/>
      <c r="J924" s="180"/>
      <c r="K924" s="180"/>
      <c r="L924" s="179"/>
      <c r="M924" s="291">
        <v>19</v>
      </c>
    </row>
    <row r="925" spans="1:13" ht="24" x14ac:dyDescent="0.2">
      <c r="A925" s="247" t="s">
        <v>830</v>
      </c>
      <c r="B925" s="172" t="s">
        <v>924</v>
      </c>
      <c r="C925" s="171" t="s">
        <v>831</v>
      </c>
      <c r="D925" s="165" t="s">
        <v>810</v>
      </c>
      <c r="E925" s="166"/>
      <c r="F925" s="178"/>
      <c r="G925" s="180"/>
      <c r="H925" s="180"/>
      <c r="I925" s="180"/>
      <c r="J925" s="180"/>
      <c r="K925" s="180"/>
      <c r="L925" s="179"/>
      <c r="M925" s="246">
        <v>3</v>
      </c>
    </row>
    <row r="926" spans="1:13" x14ac:dyDescent="0.2">
      <c r="A926" s="247"/>
      <c r="B926" s="172"/>
      <c r="C926" s="171"/>
      <c r="D926" s="165"/>
      <c r="E926" s="166">
        <v>3</v>
      </c>
      <c r="F926" s="178"/>
      <c r="G926" s="180"/>
      <c r="H926" s="180"/>
      <c r="I926" s="180"/>
      <c r="J926" s="180"/>
      <c r="K926" s="180"/>
      <c r="L926" s="179"/>
      <c r="M926" s="291">
        <v>3</v>
      </c>
    </row>
    <row r="927" spans="1:13" ht="24" x14ac:dyDescent="0.2">
      <c r="A927" s="247" t="s">
        <v>827</v>
      </c>
      <c r="B927" s="172" t="s">
        <v>925</v>
      </c>
      <c r="C927" s="171" t="s">
        <v>832</v>
      </c>
      <c r="D927" s="165" t="s">
        <v>810</v>
      </c>
      <c r="E927" s="166"/>
      <c r="F927" s="178"/>
      <c r="G927" s="180"/>
      <c r="H927" s="180"/>
      <c r="I927" s="180"/>
      <c r="J927" s="180"/>
      <c r="K927" s="180"/>
      <c r="L927" s="179"/>
      <c r="M927" s="246">
        <v>4</v>
      </c>
    </row>
    <row r="928" spans="1:13" x14ac:dyDescent="0.2">
      <c r="A928" s="247"/>
      <c r="B928" s="172"/>
      <c r="C928" s="171"/>
      <c r="D928" s="165"/>
      <c r="E928" s="166">
        <v>4</v>
      </c>
      <c r="F928" s="178"/>
      <c r="G928" s="180"/>
      <c r="H928" s="180"/>
      <c r="I928" s="180"/>
      <c r="J928" s="180"/>
      <c r="K928" s="180"/>
      <c r="L928" s="179"/>
      <c r="M928" s="291">
        <v>4</v>
      </c>
    </row>
    <row r="929" spans="1:13" ht="24" x14ac:dyDescent="0.2">
      <c r="A929" s="250" t="s">
        <v>827</v>
      </c>
      <c r="B929" s="350" t="s">
        <v>926</v>
      </c>
      <c r="C929" s="219" t="s">
        <v>833</v>
      </c>
      <c r="D929" s="351" t="s">
        <v>810</v>
      </c>
      <c r="E929" s="220"/>
      <c r="F929" s="352"/>
      <c r="G929" s="313"/>
      <c r="H929" s="313"/>
      <c r="I929" s="313"/>
      <c r="J929" s="313"/>
      <c r="K929" s="313"/>
      <c r="L929" s="312"/>
      <c r="M929" s="310">
        <v>9</v>
      </c>
    </row>
    <row r="930" spans="1:13" x14ac:dyDescent="0.2">
      <c r="A930" s="247"/>
      <c r="B930" s="172"/>
      <c r="C930" s="171"/>
      <c r="D930" s="165"/>
      <c r="E930" s="166">
        <v>9</v>
      </c>
      <c r="F930" s="178"/>
      <c r="G930" s="180"/>
      <c r="H930" s="180"/>
      <c r="I930" s="180"/>
      <c r="J930" s="180"/>
      <c r="K930" s="180"/>
      <c r="L930" s="179"/>
      <c r="M930" s="291">
        <v>9</v>
      </c>
    </row>
    <row r="931" spans="1:13" ht="24" x14ac:dyDescent="0.2">
      <c r="A931" s="247" t="s">
        <v>834</v>
      </c>
      <c r="B931" s="172" t="s">
        <v>927</v>
      </c>
      <c r="C931" s="171" t="s">
        <v>835</v>
      </c>
      <c r="D931" s="165" t="s">
        <v>810</v>
      </c>
      <c r="E931" s="166"/>
      <c r="F931" s="178"/>
      <c r="G931" s="179"/>
      <c r="H931" s="180"/>
      <c r="I931" s="180"/>
      <c r="J931" s="180"/>
      <c r="K931" s="180"/>
      <c r="L931" s="179"/>
      <c r="M931" s="246">
        <v>10</v>
      </c>
    </row>
    <row r="932" spans="1:13" x14ac:dyDescent="0.2">
      <c r="A932" s="247"/>
      <c r="B932" s="172"/>
      <c r="C932" s="171"/>
      <c r="D932" s="165"/>
      <c r="E932" s="166">
        <v>10</v>
      </c>
      <c r="F932" s="178"/>
      <c r="G932" s="179"/>
      <c r="H932" s="180"/>
      <c r="I932" s="180"/>
      <c r="J932" s="180"/>
      <c r="K932" s="180"/>
      <c r="L932" s="179"/>
      <c r="M932" s="291">
        <v>10</v>
      </c>
    </row>
    <row r="933" spans="1:13" ht="24" x14ac:dyDescent="0.2">
      <c r="A933" s="247" t="s">
        <v>834</v>
      </c>
      <c r="B933" s="172" t="s">
        <v>928</v>
      </c>
      <c r="C933" s="171" t="s">
        <v>836</v>
      </c>
      <c r="D933" s="165" t="s">
        <v>810</v>
      </c>
      <c r="E933" s="166"/>
      <c r="F933" s="178"/>
      <c r="G933" s="179"/>
      <c r="H933" s="180"/>
      <c r="I933" s="180"/>
      <c r="J933" s="180"/>
      <c r="K933" s="180"/>
      <c r="L933" s="179"/>
      <c r="M933" s="246">
        <v>6</v>
      </c>
    </row>
    <row r="934" spans="1:13" x14ac:dyDescent="0.2">
      <c r="A934" s="247"/>
      <c r="B934" s="172"/>
      <c r="C934" s="171"/>
      <c r="D934" s="165"/>
      <c r="E934" s="166">
        <v>6</v>
      </c>
      <c r="F934" s="178"/>
      <c r="G934" s="179"/>
      <c r="H934" s="180"/>
      <c r="I934" s="180"/>
      <c r="J934" s="180"/>
      <c r="K934" s="180"/>
      <c r="L934" s="179"/>
      <c r="M934" s="291">
        <v>6</v>
      </c>
    </row>
    <row r="935" spans="1:13" ht="24" x14ac:dyDescent="0.2">
      <c r="A935" s="247" t="s">
        <v>834</v>
      </c>
      <c r="B935" s="172" t="s">
        <v>929</v>
      </c>
      <c r="C935" s="171" t="s">
        <v>837</v>
      </c>
      <c r="D935" s="165" t="s">
        <v>810</v>
      </c>
      <c r="E935" s="166"/>
      <c r="F935" s="178"/>
      <c r="G935" s="179"/>
      <c r="H935" s="180"/>
      <c r="I935" s="180"/>
      <c r="J935" s="180"/>
      <c r="K935" s="180"/>
      <c r="L935" s="179"/>
      <c r="M935" s="246">
        <v>15</v>
      </c>
    </row>
    <row r="936" spans="1:13" x14ac:dyDescent="0.2">
      <c r="A936" s="247"/>
      <c r="B936" s="172"/>
      <c r="C936" s="171"/>
      <c r="D936" s="165"/>
      <c r="E936" s="166">
        <v>15</v>
      </c>
      <c r="F936" s="178"/>
      <c r="G936" s="179"/>
      <c r="H936" s="180"/>
      <c r="I936" s="180"/>
      <c r="J936" s="180"/>
      <c r="K936" s="180"/>
      <c r="L936" s="179"/>
      <c r="M936" s="291">
        <v>15</v>
      </c>
    </row>
    <row r="937" spans="1:13" ht="24" x14ac:dyDescent="0.2">
      <c r="A937" s="247" t="s">
        <v>830</v>
      </c>
      <c r="B937" s="172" t="s">
        <v>930</v>
      </c>
      <c r="C937" s="171" t="s">
        <v>838</v>
      </c>
      <c r="D937" s="165" t="s">
        <v>810</v>
      </c>
      <c r="E937" s="166"/>
      <c r="F937" s="178"/>
      <c r="G937" s="179"/>
      <c r="H937" s="180"/>
      <c r="I937" s="180"/>
      <c r="J937" s="180"/>
      <c r="K937" s="180"/>
      <c r="L937" s="179"/>
      <c r="M937" s="246">
        <v>1</v>
      </c>
    </row>
    <row r="938" spans="1:13" x14ac:dyDescent="0.2">
      <c r="A938" s="247"/>
      <c r="B938" s="172"/>
      <c r="C938" s="171"/>
      <c r="D938" s="165"/>
      <c r="E938" s="166">
        <v>1</v>
      </c>
      <c r="F938" s="178"/>
      <c r="G938" s="179"/>
      <c r="H938" s="180"/>
      <c r="I938" s="180"/>
      <c r="J938" s="180"/>
      <c r="K938" s="180"/>
      <c r="L938" s="179"/>
      <c r="M938" s="291">
        <v>1</v>
      </c>
    </row>
    <row r="939" spans="1:13" ht="24" x14ac:dyDescent="0.2">
      <c r="A939" s="247" t="s">
        <v>830</v>
      </c>
      <c r="B939" s="172" t="s">
        <v>931</v>
      </c>
      <c r="C939" s="171" t="s">
        <v>839</v>
      </c>
      <c r="D939" s="165" t="s">
        <v>810</v>
      </c>
      <c r="E939" s="166"/>
      <c r="F939" s="178"/>
      <c r="G939" s="179"/>
      <c r="H939" s="180"/>
      <c r="I939" s="180"/>
      <c r="J939" s="180"/>
      <c r="K939" s="180"/>
      <c r="L939" s="179"/>
      <c r="M939" s="246">
        <v>2</v>
      </c>
    </row>
    <row r="940" spans="1:13" x14ac:dyDescent="0.2">
      <c r="A940" s="247"/>
      <c r="B940" s="172"/>
      <c r="C940" s="171"/>
      <c r="D940" s="165"/>
      <c r="E940" s="166">
        <v>2</v>
      </c>
      <c r="F940" s="178"/>
      <c r="G940" s="179"/>
      <c r="H940" s="180"/>
      <c r="I940" s="180"/>
      <c r="J940" s="180"/>
      <c r="K940" s="180"/>
      <c r="L940" s="179"/>
      <c r="M940" s="291">
        <v>2</v>
      </c>
    </row>
    <row r="941" spans="1:13" ht="60" x14ac:dyDescent="0.2">
      <c r="A941" s="247" t="s">
        <v>840</v>
      </c>
      <c r="B941" s="172" t="s">
        <v>932</v>
      </c>
      <c r="C941" s="171" t="s">
        <v>841</v>
      </c>
      <c r="D941" s="172" t="s">
        <v>803</v>
      </c>
      <c r="E941" s="166"/>
      <c r="F941" s="182"/>
      <c r="G941" s="179"/>
      <c r="H941" s="180"/>
      <c r="I941" s="180"/>
      <c r="J941" s="180"/>
      <c r="K941" s="180"/>
      <c r="L941" s="179"/>
      <c r="M941" s="246">
        <v>37</v>
      </c>
    </row>
    <row r="942" spans="1:13" x14ac:dyDescent="0.2">
      <c r="A942" s="247"/>
      <c r="B942" s="170"/>
      <c r="C942" s="160"/>
      <c r="D942" s="165"/>
      <c r="E942" s="166">
        <v>37</v>
      </c>
      <c r="F942" s="182"/>
      <c r="G942" s="179"/>
      <c r="H942" s="180"/>
      <c r="I942" s="180"/>
      <c r="J942" s="180"/>
      <c r="K942" s="180"/>
      <c r="L942" s="179"/>
      <c r="M942" s="291">
        <v>37</v>
      </c>
    </row>
    <row r="943" spans="1:13" ht="36" x14ac:dyDescent="0.2">
      <c r="A943" s="247" t="s">
        <v>842</v>
      </c>
      <c r="B943" s="172" t="s">
        <v>933</v>
      </c>
      <c r="C943" s="171" t="s">
        <v>843</v>
      </c>
      <c r="D943" s="165" t="s">
        <v>810</v>
      </c>
      <c r="E943" s="166"/>
      <c r="F943" s="178"/>
      <c r="G943" s="179"/>
      <c r="H943" s="180"/>
      <c r="I943" s="180"/>
      <c r="J943" s="180"/>
      <c r="K943" s="180"/>
      <c r="L943" s="179"/>
      <c r="M943" s="246">
        <v>9</v>
      </c>
    </row>
    <row r="944" spans="1:13" x14ac:dyDescent="0.2">
      <c r="A944" s="248"/>
      <c r="B944" s="172"/>
      <c r="C944" s="173"/>
      <c r="D944" s="181"/>
      <c r="E944" s="165">
        <v>9</v>
      </c>
      <c r="F944" s="178"/>
      <c r="G944" s="179"/>
      <c r="H944" s="180"/>
      <c r="I944" s="180"/>
      <c r="J944" s="180"/>
      <c r="K944" s="180"/>
      <c r="L944" s="179"/>
      <c r="M944" s="291">
        <v>9</v>
      </c>
    </row>
    <row r="945" spans="1:13" ht="60" x14ac:dyDescent="0.2">
      <c r="A945" s="247" t="s">
        <v>844</v>
      </c>
      <c r="B945" s="172" t="s">
        <v>934</v>
      </c>
      <c r="C945" s="171" t="s">
        <v>845</v>
      </c>
      <c r="D945" s="165" t="s">
        <v>810</v>
      </c>
      <c r="E945" s="166"/>
      <c r="F945" s="178"/>
      <c r="G945" s="179"/>
      <c r="H945" s="180"/>
      <c r="I945" s="180"/>
      <c r="J945" s="180"/>
      <c r="K945" s="180"/>
      <c r="L945" s="179"/>
      <c r="M945" s="246">
        <v>9</v>
      </c>
    </row>
    <row r="946" spans="1:13" x14ac:dyDescent="0.2">
      <c r="A946" s="247"/>
      <c r="B946" s="172"/>
      <c r="C946" s="171"/>
      <c r="D946" s="172"/>
      <c r="E946" s="166">
        <v>9</v>
      </c>
      <c r="F946" s="178"/>
      <c r="G946" s="179"/>
      <c r="H946" s="180"/>
      <c r="I946" s="180"/>
      <c r="J946" s="180"/>
      <c r="K946" s="180"/>
      <c r="L946" s="179"/>
      <c r="M946" s="291">
        <v>9</v>
      </c>
    </row>
    <row r="947" spans="1:13" x14ac:dyDescent="0.2">
      <c r="A947" s="247"/>
      <c r="B947" s="172"/>
      <c r="C947" s="171"/>
      <c r="D947" s="165"/>
      <c r="E947" s="166"/>
      <c r="F947" s="182"/>
      <c r="G947" s="179"/>
      <c r="H947" s="179"/>
      <c r="I947" s="179"/>
      <c r="J947" s="179"/>
      <c r="K947" s="179"/>
      <c r="L947" s="179"/>
      <c r="M947" s="291"/>
    </row>
    <row r="948" spans="1:13" ht="84" x14ac:dyDescent="0.2">
      <c r="A948" s="251" t="s">
        <v>846</v>
      </c>
      <c r="B948" s="172" t="s">
        <v>935</v>
      </c>
      <c r="C948" s="171" t="s">
        <v>847</v>
      </c>
      <c r="D948" s="165" t="s">
        <v>810</v>
      </c>
      <c r="E948" s="184"/>
      <c r="F948" s="185"/>
      <c r="G948" s="186"/>
      <c r="H948" s="187"/>
      <c r="I948" s="187"/>
      <c r="J948" s="187"/>
      <c r="K948" s="187"/>
      <c r="L948" s="187"/>
      <c r="M948" s="246">
        <v>1</v>
      </c>
    </row>
    <row r="949" spans="1:13" x14ac:dyDescent="0.2">
      <c r="A949" s="292"/>
      <c r="B949" s="188"/>
      <c r="C949" s="189"/>
      <c r="D949" s="188"/>
      <c r="E949" s="184">
        <v>1</v>
      </c>
      <c r="F949" s="185"/>
      <c r="G949" s="186"/>
      <c r="H949" s="187"/>
      <c r="I949" s="187"/>
      <c r="J949" s="187"/>
      <c r="K949" s="187"/>
      <c r="L949" s="187"/>
      <c r="M949" s="293">
        <v>1</v>
      </c>
    </row>
    <row r="950" spans="1:13" ht="36" x14ac:dyDescent="0.2">
      <c r="A950" s="247" t="s">
        <v>848</v>
      </c>
      <c r="B950" s="172" t="s">
        <v>1014</v>
      </c>
      <c r="C950" s="171" t="s">
        <v>849</v>
      </c>
      <c r="D950" s="165" t="s">
        <v>810</v>
      </c>
      <c r="E950" s="184"/>
      <c r="F950" s="185"/>
      <c r="G950" s="186"/>
      <c r="H950" s="187"/>
      <c r="I950" s="187"/>
      <c r="J950" s="187"/>
      <c r="K950" s="187"/>
      <c r="L950" s="187"/>
      <c r="M950" s="246">
        <v>5</v>
      </c>
    </row>
    <row r="951" spans="1:13" x14ac:dyDescent="0.2">
      <c r="A951" s="247"/>
      <c r="B951" s="172"/>
      <c r="C951" s="190"/>
      <c r="D951" s="172"/>
      <c r="E951" s="166">
        <v>5</v>
      </c>
      <c r="F951" s="191"/>
      <c r="G951" s="192"/>
      <c r="H951" s="193"/>
      <c r="I951" s="193"/>
      <c r="J951" s="193"/>
      <c r="K951" s="193"/>
      <c r="L951" s="192"/>
      <c r="M951" s="294">
        <v>5</v>
      </c>
    </row>
    <row r="952" spans="1:13" ht="36" x14ac:dyDescent="0.2">
      <c r="A952" s="247" t="s">
        <v>850</v>
      </c>
      <c r="B952" s="172" t="s">
        <v>937</v>
      </c>
      <c r="C952" s="171" t="s">
        <v>851</v>
      </c>
      <c r="D952" s="165" t="s">
        <v>803</v>
      </c>
      <c r="E952" s="166"/>
      <c r="F952" s="194"/>
      <c r="G952" s="192"/>
      <c r="H952" s="192"/>
      <c r="I952" s="192"/>
      <c r="J952" s="192"/>
      <c r="K952" s="192"/>
      <c r="L952" s="192"/>
      <c r="M952" s="246">
        <v>350</v>
      </c>
    </row>
    <row r="953" spans="1:13" x14ac:dyDescent="0.2">
      <c r="A953" s="247"/>
      <c r="B953" s="172"/>
      <c r="C953" s="195"/>
      <c r="D953" s="172"/>
      <c r="E953" s="166"/>
      <c r="F953" s="194"/>
      <c r="G953" s="192">
        <v>350</v>
      </c>
      <c r="H953" s="192"/>
      <c r="I953" s="192"/>
      <c r="J953" s="192"/>
      <c r="K953" s="192"/>
      <c r="L953" s="192"/>
      <c r="M953" s="294">
        <v>350</v>
      </c>
    </row>
    <row r="954" spans="1:13" ht="24" x14ac:dyDescent="0.2">
      <c r="A954" s="247" t="s">
        <v>852</v>
      </c>
      <c r="B954" s="172" t="s">
        <v>938</v>
      </c>
      <c r="C954" s="171" t="s">
        <v>853</v>
      </c>
      <c r="D954" s="165" t="s">
        <v>854</v>
      </c>
      <c r="E954" s="166"/>
      <c r="F954" s="194"/>
      <c r="G954" s="192"/>
      <c r="H954" s="192"/>
      <c r="I954" s="192"/>
      <c r="J954" s="192"/>
      <c r="K954" s="192"/>
      <c r="L954" s="192"/>
      <c r="M954" s="246">
        <v>220</v>
      </c>
    </row>
    <row r="955" spans="1:13" x14ac:dyDescent="0.2">
      <c r="A955" s="247"/>
      <c r="B955" s="172"/>
      <c r="C955" s="171"/>
      <c r="D955" s="165"/>
      <c r="E955" s="166">
        <v>220</v>
      </c>
      <c r="F955" s="194"/>
      <c r="G955" s="192"/>
      <c r="H955" s="192"/>
      <c r="I955" s="192"/>
      <c r="J955" s="192"/>
      <c r="K955" s="192"/>
      <c r="L955" s="192"/>
      <c r="M955" s="294">
        <v>220</v>
      </c>
    </row>
    <row r="956" spans="1:13" ht="24" x14ac:dyDescent="0.2">
      <c r="A956" s="247" t="s">
        <v>855</v>
      </c>
      <c r="B956" s="172" t="s">
        <v>939</v>
      </c>
      <c r="C956" s="171" t="s">
        <v>856</v>
      </c>
      <c r="D956" s="165" t="s">
        <v>854</v>
      </c>
      <c r="E956" s="166"/>
      <c r="F956" s="194"/>
      <c r="G956" s="192"/>
      <c r="H956" s="192"/>
      <c r="I956" s="192"/>
      <c r="J956" s="192"/>
      <c r="K956" s="192"/>
      <c r="L956" s="192"/>
      <c r="M956" s="246">
        <v>220</v>
      </c>
    </row>
    <row r="957" spans="1:13" x14ac:dyDescent="0.2">
      <c r="A957" s="247"/>
      <c r="B957" s="172"/>
      <c r="C957" s="196"/>
      <c r="D957" s="172"/>
      <c r="E957" s="166">
        <v>220</v>
      </c>
      <c r="F957" s="194"/>
      <c r="G957" s="192"/>
      <c r="H957" s="192"/>
      <c r="I957" s="192"/>
      <c r="J957" s="192"/>
      <c r="K957" s="192"/>
      <c r="L957" s="192"/>
      <c r="M957" s="294">
        <v>220</v>
      </c>
    </row>
    <row r="958" spans="1:13" ht="24" x14ac:dyDescent="0.2">
      <c r="A958" s="247"/>
      <c r="B958" s="172" t="s">
        <v>940</v>
      </c>
      <c r="C958" s="171" t="s">
        <v>998</v>
      </c>
      <c r="D958" s="165" t="s">
        <v>810</v>
      </c>
      <c r="E958" s="166"/>
      <c r="F958" s="194"/>
      <c r="G958" s="192"/>
      <c r="H958" s="192"/>
      <c r="I958" s="192"/>
      <c r="J958" s="192"/>
      <c r="K958" s="192"/>
      <c r="L958" s="192"/>
      <c r="M958" s="246">
        <v>1</v>
      </c>
    </row>
    <row r="959" spans="1:13" x14ac:dyDescent="0.2">
      <c r="A959" s="247"/>
      <c r="B959" s="172"/>
      <c r="C959" s="196"/>
      <c r="D959" s="172"/>
      <c r="E959" s="166">
        <v>1</v>
      </c>
      <c r="F959" s="194"/>
      <c r="G959" s="192"/>
      <c r="H959" s="192"/>
      <c r="I959" s="192"/>
      <c r="J959" s="192"/>
      <c r="K959" s="192"/>
      <c r="L959" s="192"/>
      <c r="M959" s="294">
        <v>1</v>
      </c>
    </row>
    <row r="960" spans="1:13" ht="60" x14ac:dyDescent="0.2">
      <c r="A960" s="247" t="s">
        <v>858</v>
      </c>
      <c r="B960" s="172" t="s">
        <v>941</v>
      </c>
      <c r="C960" s="171" t="s">
        <v>859</v>
      </c>
      <c r="D960" s="172" t="s">
        <v>860</v>
      </c>
      <c r="E960" s="166"/>
      <c r="F960" s="194"/>
      <c r="G960" s="192"/>
      <c r="H960" s="192"/>
      <c r="I960" s="192"/>
      <c r="J960" s="192"/>
      <c r="K960" s="192"/>
      <c r="L960" s="192"/>
      <c r="M960" s="246">
        <v>3.2</v>
      </c>
    </row>
    <row r="961" spans="1:13" x14ac:dyDescent="0.2">
      <c r="A961" s="247"/>
      <c r="B961" s="172"/>
      <c r="C961" s="196"/>
      <c r="D961" s="172"/>
      <c r="E961" s="166"/>
      <c r="F961" s="194"/>
      <c r="G961" s="192"/>
      <c r="H961" s="192"/>
      <c r="I961" s="192"/>
      <c r="J961" s="192"/>
      <c r="K961" s="192"/>
      <c r="L961" s="192">
        <v>3.2</v>
      </c>
      <c r="M961" s="294">
        <v>3.2</v>
      </c>
    </row>
    <row r="962" spans="1:13" ht="24" x14ac:dyDescent="0.2">
      <c r="A962" s="247"/>
      <c r="B962" s="172" t="s">
        <v>942</v>
      </c>
      <c r="C962" s="171" t="s">
        <v>999</v>
      </c>
      <c r="D962" s="165" t="s">
        <v>810</v>
      </c>
      <c r="E962" s="166"/>
      <c r="F962" s="194"/>
      <c r="G962" s="192"/>
      <c r="H962" s="192"/>
      <c r="I962" s="192"/>
      <c r="J962" s="192"/>
      <c r="K962" s="192"/>
      <c r="L962" s="192"/>
      <c r="M962" s="246">
        <v>1</v>
      </c>
    </row>
    <row r="963" spans="1:13" x14ac:dyDescent="0.2">
      <c r="A963" s="247"/>
      <c r="B963" s="172"/>
      <c r="C963" s="196"/>
      <c r="D963" s="172"/>
      <c r="E963" s="166">
        <v>1</v>
      </c>
      <c r="F963" s="194"/>
      <c r="G963" s="192"/>
      <c r="H963" s="192"/>
      <c r="I963" s="192"/>
      <c r="J963" s="192"/>
      <c r="K963" s="192"/>
      <c r="L963" s="192"/>
      <c r="M963" s="294">
        <v>1</v>
      </c>
    </row>
    <row r="964" spans="1:13" ht="24" x14ac:dyDescent="0.2">
      <c r="A964" s="247" t="s">
        <v>862</v>
      </c>
      <c r="B964" s="172" t="s">
        <v>943</v>
      </c>
      <c r="C964" s="171" t="s">
        <v>863</v>
      </c>
      <c r="D964" s="165" t="s">
        <v>810</v>
      </c>
      <c r="E964" s="166"/>
      <c r="F964" s="194"/>
      <c r="G964" s="192"/>
      <c r="H964" s="192"/>
      <c r="I964" s="192"/>
      <c r="J964" s="192"/>
      <c r="K964" s="192"/>
      <c r="L964" s="192"/>
      <c r="M964" s="246">
        <v>1</v>
      </c>
    </row>
    <row r="965" spans="1:13" x14ac:dyDescent="0.2">
      <c r="A965" s="247"/>
      <c r="B965" s="172"/>
      <c r="C965" s="196"/>
      <c r="D965" s="172"/>
      <c r="E965" s="166">
        <v>1</v>
      </c>
      <c r="F965" s="194"/>
      <c r="G965" s="192"/>
      <c r="H965" s="192"/>
      <c r="I965" s="192"/>
      <c r="J965" s="192"/>
      <c r="K965" s="192"/>
      <c r="L965" s="192"/>
      <c r="M965" s="294">
        <v>1</v>
      </c>
    </row>
    <row r="966" spans="1:13" ht="96" x14ac:dyDescent="0.2">
      <c r="A966" s="247" t="s">
        <v>864</v>
      </c>
      <c r="B966" s="172" t="s">
        <v>944</v>
      </c>
      <c r="C966" s="171" t="s">
        <v>865</v>
      </c>
      <c r="D966" s="165" t="s">
        <v>810</v>
      </c>
      <c r="E966" s="166"/>
      <c r="F966" s="194"/>
      <c r="G966" s="192"/>
      <c r="H966" s="192"/>
      <c r="I966" s="192"/>
      <c r="J966" s="192"/>
      <c r="K966" s="192"/>
      <c r="L966" s="192"/>
      <c r="M966" s="246">
        <v>1</v>
      </c>
    </row>
    <row r="967" spans="1:13" x14ac:dyDescent="0.2">
      <c r="A967" s="247"/>
      <c r="B967" s="172"/>
      <c r="C967" s="196"/>
      <c r="D967" s="172"/>
      <c r="E967" s="166">
        <v>1</v>
      </c>
      <c r="F967" s="194"/>
      <c r="G967" s="192"/>
      <c r="H967" s="192"/>
      <c r="I967" s="192"/>
      <c r="J967" s="192"/>
      <c r="K967" s="192"/>
      <c r="L967" s="192"/>
      <c r="M967" s="294">
        <v>1</v>
      </c>
    </row>
    <row r="968" spans="1:13" ht="72" x14ac:dyDescent="0.2">
      <c r="A968" s="247" t="s">
        <v>866</v>
      </c>
      <c r="B968" s="172" t="s">
        <v>945</v>
      </c>
      <c r="C968" s="171" t="s">
        <v>867</v>
      </c>
      <c r="D968" s="165" t="s">
        <v>810</v>
      </c>
      <c r="E968" s="166"/>
      <c r="F968" s="194"/>
      <c r="G968" s="192"/>
      <c r="H968" s="192"/>
      <c r="I968" s="192"/>
      <c r="J968" s="192"/>
      <c r="K968" s="192"/>
      <c r="L968" s="192"/>
      <c r="M968" s="246">
        <v>1</v>
      </c>
    </row>
    <row r="969" spans="1:13" x14ac:dyDescent="0.2">
      <c r="A969" s="247"/>
      <c r="B969" s="172"/>
      <c r="C969" s="196"/>
      <c r="D969" s="172"/>
      <c r="E969" s="166">
        <v>1</v>
      </c>
      <c r="F969" s="194"/>
      <c r="G969" s="192"/>
      <c r="H969" s="192"/>
      <c r="I969" s="192"/>
      <c r="J969" s="192"/>
      <c r="K969" s="192"/>
      <c r="L969" s="192"/>
      <c r="M969" s="294">
        <v>1</v>
      </c>
    </row>
    <row r="970" spans="1:13" ht="24" x14ac:dyDescent="0.2">
      <c r="A970" s="250"/>
      <c r="B970" s="350" t="s">
        <v>946</v>
      </c>
      <c r="C970" s="219" t="s">
        <v>1000</v>
      </c>
      <c r="D970" s="351" t="s">
        <v>810</v>
      </c>
      <c r="E970" s="220"/>
      <c r="F970" s="353"/>
      <c r="G970" s="309"/>
      <c r="H970" s="309"/>
      <c r="I970" s="309"/>
      <c r="J970" s="309"/>
      <c r="K970" s="309"/>
      <c r="L970" s="309"/>
      <c r="M970" s="310">
        <v>1</v>
      </c>
    </row>
    <row r="971" spans="1:13" x14ac:dyDescent="0.2">
      <c r="A971" s="247"/>
      <c r="B971" s="172"/>
      <c r="C971" s="196"/>
      <c r="D971" s="172"/>
      <c r="E971" s="166">
        <v>1</v>
      </c>
      <c r="F971" s="194"/>
      <c r="G971" s="192"/>
      <c r="H971" s="192"/>
      <c r="I971" s="192"/>
      <c r="J971" s="192"/>
      <c r="K971" s="192"/>
      <c r="L971" s="192"/>
      <c r="M971" s="294">
        <v>1</v>
      </c>
    </row>
    <row r="972" spans="1:13" ht="36" x14ac:dyDescent="0.2">
      <c r="A972" s="247" t="s">
        <v>869</v>
      </c>
      <c r="B972" s="172" t="s">
        <v>947</v>
      </c>
      <c r="C972" s="171" t="s">
        <v>870</v>
      </c>
      <c r="D972" s="165" t="s">
        <v>803</v>
      </c>
      <c r="E972" s="166"/>
      <c r="F972" s="194"/>
      <c r="G972" s="192"/>
      <c r="H972" s="192"/>
      <c r="I972" s="192"/>
      <c r="J972" s="192"/>
      <c r="K972" s="192"/>
      <c r="L972" s="192"/>
      <c r="M972" s="246">
        <v>72</v>
      </c>
    </row>
    <row r="973" spans="1:13" x14ac:dyDescent="0.2">
      <c r="A973" s="247"/>
      <c r="B973" s="172"/>
      <c r="C973" s="196"/>
      <c r="D973" s="172"/>
      <c r="E973" s="166"/>
      <c r="F973" s="194"/>
      <c r="G973" s="192">
        <v>72</v>
      </c>
      <c r="H973" s="192"/>
      <c r="I973" s="192"/>
      <c r="J973" s="192"/>
      <c r="K973" s="192"/>
      <c r="L973" s="192"/>
      <c r="M973" s="294">
        <v>72</v>
      </c>
    </row>
    <row r="974" spans="1:13" ht="24" x14ac:dyDescent="0.2">
      <c r="A974" s="247">
        <v>91940</v>
      </c>
      <c r="B974" s="172" t="s">
        <v>948</v>
      </c>
      <c r="C974" s="171" t="s">
        <v>1001</v>
      </c>
      <c r="D974" s="165" t="s">
        <v>810</v>
      </c>
      <c r="E974" s="166"/>
      <c r="F974" s="194"/>
      <c r="G974" s="192"/>
      <c r="H974" s="192"/>
      <c r="I974" s="192"/>
      <c r="J974" s="192"/>
      <c r="K974" s="192"/>
      <c r="L974" s="192"/>
      <c r="M974" s="246">
        <v>160</v>
      </c>
    </row>
    <row r="975" spans="1:13" x14ac:dyDescent="0.2">
      <c r="A975" s="247"/>
      <c r="B975" s="172"/>
      <c r="C975" s="196"/>
      <c r="D975" s="172"/>
      <c r="E975" s="166">
        <v>160</v>
      </c>
      <c r="F975" s="194"/>
      <c r="G975" s="192"/>
      <c r="H975" s="192"/>
      <c r="I975" s="192"/>
      <c r="J975" s="192"/>
      <c r="K975" s="192"/>
      <c r="L975" s="192"/>
      <c r="M975" s="294">
        <v>160</v>
      </c>
    </row>
    <row r="976" spans="1:13" ht="48" x14ac:dyDescent="0.2">
      <c r="A976" s="247" t="s">
        <v>872</v>
      </c>
      <c r="B976" s="172" t="s">
        <v>949</v>
      </c>
      <c r="C976" s="171" t="s">
        <v>873</v>
      </c>
      <c r="D976" s="172" t="s">
        <v>803</v>
      </c>
      <c r="E976" s="166"/>
      <c r="F976" s="194"/>
      <c r="G976" s="192"/>
      <c r="H976" s="192"/>
      <c r="I976" s="192"/>
      <c r="J976" s="192"/>
      <c r="K976" s="192"/>
      <c r="L976" s="192"/>
      <c r="M976" s="246">
        <v>400</v>
      </c>
    </row>
    <row r="977" spans="1:13" x14ac:dyDescent="0.2">
      <c r="A977" s="247"/>
      <c r="B977" s="172"/>
      <c r="C977" s="196"/>
      <c r="D977" s="172"/>
      <c r="E977" s="166"/>
      <c r="F977" s="194"/>
      <c r="G977" s="192">
        <v>400</v>
      </c>
      <c r="H977" s="192"/>
      <c r="I977" s="192"/>
      <c r="J977" s="192"/>
      <c r="K977" s="192"/>
      <c r="L977" s="192"/>
      <c r="M977" s="294">
        <v>400</v>
      </c>
    </row>
    <row r="978" spans="1:13" ht="60" x14ac:dyDescent="0.2">
      <c r="A978" s="247" t="s">
        <v>874</v>
      </c>
      <c r="B978" s="172" t="s">
        <v>950</v>
      </c>
      <c r="C978" s="171" t="s">
        <v>875</v>
      </c>
      <c r="D978" s="172" t="s">
        <v>803</v>
      </c>
      <c r="E978" s="166"/>
      <c r="F978" s="194"/>
      <c r="G978" s="192"/>
      <c r="H978" s="192"/>
      <c r="I978" s="192"/>
      <c r="J978" s="192"/>
      <c r="K978" s="192"/>
      <c r="L978" s="192"/>
      <c r="M978" s="246">
        <v>5500</v>
      </c>
    </row>
    <row r="979" spans="1:13" x14ac:dyDescent="0.2">
      <c r="A979" s="247"/>
      <c r="B979" s="172"/>
      <c r="C979" s="196"/>
      <c r="D979" s="172"/>
      <c r="E979" s="166"/>
      <c r="F979" s="194"/>
      <c r="G979" s="192">
        <v>5500</v>
      </c>
      <c r="H979" s="192"/>
      <c r="I979" s="192"/>
      <c r="J979" s="192"/>
      <c r="K979" s="192"/>
      <c r="L979" s="192"/>
      <c r="M979" s="294">
        <v>5500</v>
      </c>
    </row>
    <row r="980" spans="1:13" ht="60" x14ac:dyDescent="0.2">
      <c r="A980" s="247" t="s">
        <v>876</v>
      </c>
      <c r="B980" s="172" t="s">
        <v>951</v>
      </c>
      <c r="C980" s="171" t="s">
        <v>877</v>
      </c>
      <c r="D980" s="172" t="s">
        <v>803</v>
      </c>
      <c r="E980" s="166"/>
      <c r="F980" s="194"/>
      <c r="G980" s="192"/>
      <c r="H980" s="192"/>
      <c r="I980" s="192"/>
      <c r="J980" s="192"/>
      <c r="K980" s="192"/>
      <c r="L980" s="192"/>
      <c r="M980" s="246">
        <v>4500</v>
      </c>
    </row>
    <row r="981" spans="1:13" x14ac:dyDescent="0.2">
      <c r="A981" s="247"/>
      <c r="B981" s="172"/>
      <c r="C981" s="196"/>
      <c r="D981" s="172"/>
      <c r="E981" s="166"/>
      <c r="F981" s="194"/>
      <c r="G981" s="192">
        <v>4500</v>
      </c>
      <c r="H981" s="192"/>
      <c r="I981" s="192"/>
      <c r="J981" s="192"/>
      <c r="K981" s="192"/>
      <c r="L981" s="192"/>
      <c r="M981" s="294">
        <v>4500</v>
      </c>
    </row>
    <row r="982" spans="1:13" ht="84" x14ac:dyDescent="0.2">
      <c r="A982" s="247" t="s">
        <v>1002</v>
      </c>
      <c r="B982" s="172" t="s">
        <v>952</v>
      </c>
      <c r="C982" s="171" t="s">
        <v>1003</v>
      </c>
      <c r="D982" s="165" t="s">
        <v>810</v>
      </c>
      <c r="E982" s="166"/>
      <c r="F982" s="194"/>
      <c r="G982" s="192"/>
      <c r="H982" s="192"/>
      <c r="I982" s="192"/>
      <c r="J982" s="192"/>
      <c r="K982" s="192"/>
      <c r="L982" s="192"/>
      <c r="M982" s="246">
        <v>1</v>
      </c>
    </row>
    <row r="983" spans="1:13" x14ac:dyDescent="0.2">
      <c r="A983" s="247"/>
      <c r="B983" s="172"/>
      <c r="C983" s="196"/>
      <c r="D983" s="172"/>
      <c r="E983" s="166">
        <v>1</v>
      </c>
      <c r="F983" s="194"/>
      <c r="G983" s="192"/>
      <c r="H983" s="192"/>
      <c r="I983" s="192"/>
      <c r="J983" s="192"/>
      <c r="K983" s="192"/>
      <c r="L983" s="192"/>
      <c r="M983" s="294">
        <v>1</v>
      </c>
    </row>
    <row r="984" spans="1:13" ht="60" x14ac:dyDescent="0.2">
      <c r="A984" s="247" t="s">
        <v>840</v>
      </c>
      <c r="B984" s="172" t="s">
        <v>953</v>
      </c>
      <c r="C984" s="171" t="s">
        <v>880</v>
      </c>
      <c r="D984" s="172" t="s">
        <v>803</v>
      </c>
      <c r="E984" s="166"/>
      <c r="F984" s="194"/>
      <c r="G984" s="192"/>
      <c r="H984" s="192"/>
      <c r="I984" s="192"/>
      <c r="J984" s="192"/>
      <c r="K984" s="192"/>
      <c r="L984" s="192"/>
      <c r="M984" s="246">
        <v>356</v>
      </c>
    </row>
    <row r="985" spans="1:13" x14ac:dyDescent="0.2">
      <c r="A985" s="247"/>
      <c r="B985" s="172"/>
      <c r="C985" s="171"/>
      <c r="D985" s="172"/>
      <c r="E985" s="166"/>
      <c r="F985" s="194"/>
      <c r="G985" s="192">
        <v>356</v>
      </c>
      <c r="H985" s="192"/>
      <c r="I985" s="192"/>
      <c r="J985" s="192"/>
      <c r="K985" s="192"/>
      <c r="L985" s="192"/>
      <c r="M985" s="294">
        <v>356</v>
      </c>
    </row>
    <row r="986" spans="1:13" ht="60" x14ac:dyDescent="0.2">
      <c r="A986" s="247" t="s">
        <v>840</v>
      </c>
      <c r="B986" s="172" t="s">
        <v>954</v>
      </c>
      <c r="C986" s="171" t="s">
        <v>881</v>
      </c>
      <c r="D986" s="172" t="s">
        <v>803</v>
      </c>
      <c r="E986" s="166"/>
      <c r="F986" s="194"/>
      <c r="G986" s="192"/>
      <c r="H986" s="192"/>
      <c r="I986" s="192"/>
      <c r="J986" s="192"/>
      <c r="K986" s="192"/>
      <c r="L986" s="192"/>
      <c r="M986" s="246">
        <v>110</v>
      </c>
    </row>
    <row r="987" spans="1:13" x14ac:dyDescent="0.2">
      <c r="A987" s="247"/>
      <c r="B987" s="172"/>
      <c r="C987" s="196"/>
      <c r="D987" s="172"/>
      <c r="E987" s="166"/>
      <c r="F987" s="194"/>
      <c r="G987" s="192">
        <v>110</v>
      </c>
      <c r="H987" s="192"/>
      <c r="I987" s="192"/>
      <c r="J987" s="192"/>
      <c r="K987" s="192"/>
      <c r="L987" s="192"/>
      <c r="M987" s="294">
        <v>110</v>
      </c>
    </row>
    <row r="988" spans="1:13" ht="60" x14ac:dyDescent="0.2">
      <c r="A988" s="247" t="s">
        <v>882</v>
      </c>
      <c r="B988" s="172" t="s">
        <v>955</v>
      </c>
      <c r="C988" s="171" t="s">
        <v>883</v>
      </c>
      <c r="D988" s="172" t="s">
        <v>803</v>
      </c>
      <c r="E988" s="166"/>
      <c r="F988" s="194"/>
      <c r="G988" s="192"/>
      <c r="H988" s="192"/>
      <c r="I988" s="192"/>
      <c r="J988" s="192"/>
      <c r="K988" s="192"/>
      <c r="L988" s="192"/>
      <c r="M988" s="246">
        <v>110</v>
      </c>
    </row>
    <row r="989" spans="1:13" x14ac:dyDescent="0.2">
      <c r="A989" s="247"/>
      <c r="B989" s="172"/>
      <c r="C989" s="196"/>
      <c r="D989" s="172"/>
      <c r="E989" s="166"/>
      <c r="F989" s="194"/>
      <c r="G989" s="192">
        <v>110</v>
      </c>
      <c r="H989" s="192"/>
      <c r="I989" s="192"/>
      <c r="J989" s="192"/>
      <c r="K989" s="192"/>
      <c r="L989" s="192"/>
      <c r="M989" s="294">
        <v>110</v>
      </c>
    </row>
    <row r="990" spans="1:13" ht="60" x14ac:dyDescent="0.2">
      <c r="A990" s="247" t="s">
        <v>884</v>
      </c>
      <c r="B990" s="172" t="s">
        <v>956</v>
      </c>
      <c r="C990" s="171" t="s">
        <v>885</v>
      </c>
      <c r="D990" s="172" t="s">
        <v>803</v>
      </c>
      <c r="E990" s="166"/>
      <c r="F990" s="194"/>
      <c r="G990" s="192"/>
      <c r="H990" s="192"/>
      <c r="I990" s="192"/>
      <c r="J990" s="192"/>
      <c r="K990" s="192"/>
      <c r="L990" s="192"/>
      <c r="M990" s="246">
        <v>180</v>
      </c>
    </row>
    <row r="991" spans="1:13" x14ac:dyDescent="0.2">
      <c r="A991" s="247"/>
      <c r="B991" s="172"/>
      <c r="C991" s="196"/>
      <c r="D991" s="172"/>
      <c r="E991" s="166"/>
      <c r="F991" s="194"/>
      <c r="G991" s="192">
        <v>180</v>
      </c>
      <c r="H991" s="192"/>
      <c r="I991" s="192"/>
      <c r="J991" s="192"/>
      <c r="K991" s="192"/>
      <c r="L991" s="192"/>
      <c r="M991" s="294">
        <v>180</v>
      </c>
    </row>
    <row r="992" spans="1:13" ht="60" x14ac:dyDescent="0.2">
      <c r="A992" s="247" t="s">
        <v>884</v>
      </c>
      <c r="B992" s="172" t="s">
        <v>957</v>
      </c>
      <c r="C992" s="171" t="s">
        <v>886</v>
      </c>
      <c r="D992" s="172" t="s">
        <v>803</v>
      </c>
      <c r="E992" s="166"/>
      <c r="F992" s="194"/>
      <c r="G992" s="192"/>
      <c r="H992" s="192"/>
      <c r="I992" s="192"/>
      <c r="J992" s="192"/>
      <c r="K992" s="192"/>
      <c r="L992" s="192"/>
      <c r="M992" s="246">
        <v>60</v>
      </c>
    </row>
    <row r="993" spans="1:13" x14ac:dyDescent="0.2">
      <c r="A993" s="247"/>
      <c r="B993" s="172"/>
      <c r="C993" s="171"/>
      <c r="D993" s="172"/>
      <c r="E993" s="166"/>
      <c r="F993" s="194"/>
      <c r="G993" s="192">
        <v>60</v>
      </c>
      <c r="H993" s="192"/>
      <c r="I993" s="192"/>
      <c r="J993" s="192"/>
      <c r="K993" s="192"/>
      <c r="L993" s="192"/>
      <c r="M993" s="294">
        <v>60</v>
      </c>
    </row>
    <row r="994" spans="1:13" ht="60" x14ac:dyDescent="0.2">
      <c r="A994" s="247" t="s">
        <v>887</v>
      </c>
      <c r="B994" s="172" t="s">
        <v>958</v>
      </c>
      <c r="C994" s="171" t="s">
        <v>888</v>
      </c>
      <c r="D994" s="172" t="s">
        <v>803</v>
      </c>
      <c r="E994" s="166"/>
      <c r="F994" s="194"/>
      <c r="G994" s="192"/>
      <c r="H994" s="192"/>
      <c r="I994" s="192"/>
      <c r="J994" s="192"/>
      <c r="K994" s="192"/>
      <c r="L994" s="192"/>
      <c r="M994" s="246">
        <v>120</v>
      </c>
    </row>
    <row r="995" spans="1:13" x14ac:dyDescent="0.2">
      <c r="A995" s="247"/>
      <c r="B995" s="172"/>
      <c r="C995" s="171"/>
      <c r="D995" s="172"/>
      <c r="E995" s="166"/>
      <c r="F995" s="194"/>
      <c r="G995" s="192">
        <v>120</v>
      </c>
      <c r="H995" s="192"/>
      <c r="I995" s="192"/>
      <c r="J995" s="192"/>
      <c r="K995" s="192"/>
      <c r="L995" s="192"/>
      <c r="M995" s="294">
        <v>120</v>
      </c>
    </row>
    <row r="996" spans="1:13" ht="60" x14ac:dyDescent="0.2">
      <c r="A996" s="247" t="s">
        <v>887</v>
      </c>
      <c r="B996" s="172" t="s">
        <v>959</v>
      </c>
      <c r="C996" s="171" t="s">
        <v>889</v>
      </c>
      <c r="D996" s="172" t="s">
        <v>803</v>
      </c>
      <c r="E996" s="166"/>
      <c r="F996" s="194"/>
      <c r="G996" s="192"/>
      <c r="H996" s="192"/>
      <c r="I996" s="192"/>
      <c r="J996" s="192"/>
      <c r="K996" s="192"/>
      <c r="L996" s="192"/>
      <c r="M996" s="246">
        <v>240</v>
      </c>
    </row>
    <row r="997" spans="1:13" x14ac:dyDescent="0.2">
      <c r="A997" s="247"/>
      <c r="B997" s="172"/>
      <c r="C997" s="171"/>
      <c r="D997" s="172"/>
      <c r="E997" s="166"/>
      <c r="F997" s="194"/>
      <c r="G997" s="192">
        <v>240</v>
      </c>
      <c r="H997" s="192"/>
      <c r="I997" s="192"/>
      <c r="J997" s="192"/>
      <c r="K997" s="192"/>
      <c r="L997" s="192"/>
      <c r="M997" s="294">
        <v>240</v>
      </c>
    </row>
    <row r="998" spans="1:13" ht="60" x14ac:dyDescent="0.2">
      <c r="A998" s="247" t="s">
        <v>887</v>
      </c>
      <c r="B998" s="172" t="s">
        <v>960</v>
      </c>
      <c r="C998" s="171" t="s">
        <v>890</v>
      </c>
      <c r="D998" s="172" t="s">
        <v>803</v>
      </c>
      <c r="E998" s="166"/>
      <c r="F998" s="194"/>
      <c r="G998" s="192"/>
      <c r="H998" s="192"/>
      <c r="I998" s="192"/>
      <c r="J998" s="192"/>
      <c r="K998" s="192"/>
      <c r="L998" s="192"/>
      <c r="M998" s="246">
        <v>120</v>
      </c>
    </row>
    <row r="999" spans="1:13" x14ac:dyDescent="0.2">
      <c r="A999" s="247"/>
      <c r="B999" s="172"/>
      <c r="C999" s="196"/>
      <c r="D999" s="172"/>
      <c r="E999" s="166"/>
      <c r="F999" s="194"/>
      <c r="G999" s="192">
        <v>120</v>
      </c>
      <c r="H999" s="192"/>
      <c r="I999" s="192"/>
      <c r="J999" s="192"/>
      <c r="K999" s="192"/>
      <c r="L999" s="192"/>
      <c r="M999" s="294">
        <v>120</v>
      </c>
    </row>
    <row r="1000" spans="1:13" ht="60" x14ac:dyDescent="0.2">
      <c r="A1000" s="247" t="s">
        <v>891</v>
      </c>
      <c r="B1000" s="172" t="s">
        <v>961</v>
      </c>
      <c r="C1000" s="171" t="s">
        <v>892</v>
      </c>
      <c r="D1000" s="172" t="s">
        <v>803</v>
      </c>
      <c r="E1000" s="166"/>
      <c r="F1000" s="194"/>
      <c r="G1000" s="192"/>
      <c r="H1000" s="192"/>
      <c r="I1000" s="192"/>
      <c r="J1000" s="192"/>
      <c r="K1000" s="192"/>
      <c r="L1000" s="192"/>
      <c r="M1000" s="246">
        <v>186</v>
      </c>
    </row>
    <row r="1001" spans="1:13" x14ac:dyDescent="0.2">
      <c r="A1001" s="250"/>
      <c r="B1001" s="350"/>
      <c r="C1001" s="219"/>
      <c r="D1001" s="350"/>
      <c r="E1001" s="220"/>
      <c r="F1001" s="353"/>
      <c r="G1001" s="309">
        <v>186</v>
      </c>
      <c r="H1001" s="309"/>
      <c r="I1001" s="309"/>
      <c r="J1001" s="309"/>
      <c r="K1001" s="309"/>
      <c r="L1001" s="309"/>
      <c r="M1001" s="311">
        <v>186</v>
      </c>
    </row>
    <row r="1002" spans="1:13" ht="60" x14ac:dyDescent="0.2">
      <c r="A1002" s="247" t="s">
        <v>891</v>
      </c>
      <c r="B1002" s="172" t="s">
        <v>962</v>
      </c>
      <c r="C1002" s="171" t="s">
        <v>893</v>
      </c>
      <c r="D1002" s="172" t="s">
        <v>803</v>
      </c>
      <c r="E1002" s="166"/>
      <c r="F1002" s="194"/>
      <c r="G1002" s="192"/>
      <c r="H1002" s="192"/>
      <c r="I1002" s="192"/>
      <c r="J1002" s="192"/>
      <c r="K1002" s="192"/>
      <c r="L1002" s="192"/>
      <c r="M1002" s="246">
        <v>62</v>
      </c>
    </row>
    <row r="1003" spans="1:13" x14ac:dyDescent="0.2">
      <c r="A1003" s="247"/>
      <c r="B1003" s="172"/>
      <c r="C1003" s="171"/>
      <c r="D1003" s="172"/>
      <c r="E1003" s="166"/>
      <c r="F1003" s="194"/>
      <c r="G1003" s="192">
        <v>62</v>
      </c>
      <c r="H1003" s="192"/>
      <c r="I1003" s="192"/>
      <c r="J1003" s="192"/>
      <c r="K1003" s="192"/>
      <c r="L1003" s="192"/>
      <c r="M1003" s="294">
        <v>62</v>
      </c>
    </row>
    <row r="1004" spans="1:13" ht="60" x14ac:dyDescent="0.2">
      <c r="A1004" s="247" t="s">
        <v>891</v>
      </c>
      <c r="B1004" s="172" t="s">
        <v>963</v>
      </c>
      <c r="C1004" s="171" t="s">
        <v>894</v>
      </c>
      <c r="D1004" s="172" t="s">
        <v>803</v>
      </c>
      <c r="E1004" s="166"/>
      <c r="F1004" s="194"/>
      <c r="G1004" s="192"/>
      <c r="H1004" s="192"/>
      <c r="I1004" s="192"/>
      <c r="J1004" s="192"/>
      <c r="K1004" s="192"/>
      <c r="L1004" s="192"/>
      <c r="M1004" s="246">
        <v>150</v>
      </c>
    </row>
    <row r="1005" spans="1:13" x14ac:dyDescent="0.2">
      <c r="A1005" s="247"/>
      <c r="B1005" s="172"/>
      <c r="C1005" s="196"/>
      <c r="D1005" s="172"/>
      <c r="E1005" s="166"/>
      <c r="F1005" s="194"/>
      <c r="G1005" s="192">
        <v>150</v>
      </c>
      <c r="H1005" s="192"/>
      <c r="I1005" s="192"/>
      <c r="J1005" s="192"/>
      <c r="K1005" s="192"/>
      <c r="L1005" s="192"/>
      <c r="M1005" s="294">
        <v>150</v>
      </c>
    </row>
    <row r="1006" spans="1:13" ht="24" x14ac:dyDescent="0.2">
      <c r="A1006" s="247" t="s">
        <v>895</v>
      </c>
      <c r="B1006" s="172" t="s">
        <v>964</v>
      </c>
      <c r="C1006" s="171" t="s">
        <v>896</v>
      </c>
      <c r="D1006" s="172" t="s">
        <v>810</v>
      </c>
      <c r="E1006" s="166"/>
      <c r="F1006" s="194"/>
      <c r="G1006" s="192"/>
      <c r="H1006" s="192"/>
      <c r="I1006" s="192"/>
      <c r="J1006" s="192"/>
      <c r="K1006" s="192"/>
      <c r="L1006" s="192"/>
      <c r="M1006" s="246">
        <v>1</v>
      </c>
    </row>
    <row r="1007" spans="1:13" x14ac:dyDescent="0.2">
      <c r="A1007" s="247"/>
      <c r="B1007" s="172"/>
      <c r="C1007" s="196"/>
      <c r="D1007" s="172"/>
      <c r="E1007" s="166">
        <v>1</v>
      </c>
      <c r="F1007" s="194"/>
      <c r="G1007" s="192"/>
      <c r="H1007" s="192"/>
      <c r="I1007" s="192"/>
      <c r="J1007" s="192"/>
      <c r="K1007" s="192"/>
      <c r="L1007" s="192"/>
      <c r="M1007" s="294">
        <v>1</v>
      </c>
    </row>
    <row r="1008" spans="1:13" ht="48" x14ac:dyDescent="0.2">
      <c r="A1008" s="247" t="s">
        <v>897</v>
      </c>
      <c r="B1008" s="172" t="s">
        <v>965</v>
      </c>
      <c r="C1008" s="171" t="s">
        <v>898</v>
      </c>
      <c r="D1008" s="172" t="s">
        <v>803</v>
      </c>
      <c r="E1008" s="166"/>
      <c r="F1008" s="194"/>
      <c r="G1008" s="192"/>
      <c r="H1008" s="192"/>
      <c r="I1008" s="192"/>
      <c r="J1008" s="192"/>
      <c r="K1008" s="192"/>
      <c r="L1008" s="192"/>
      <c r="M1008" s="246">
        <v>20</v>
      </c>
    </row>
    <row r="1009" spans="1:13" x14ac:dyDescent="0.2">
      <c r="A1009" s="247"/>
      <c r="B1009" s="172"/>
      <c r="C1009" s="196"/>
      <c r="D1009" s="172"/>
      <c r="E1009" s="166"/>
      <c r="F1009" s="194"/>
      <c r="G1009" s="192">
        <v>20</v>
      </c>
      <c r="H1009" s="192"/>
      <c r="I1009" s="192"/>
      <c r="J1009" s="192"/>
      <c r="K1009" s="192"/>
      <c r="L1009" s="192"/>
      <c r="M1009" s="294">
        <v>20</v>
      </c>
    </row>
    <row r="1010" spans="1:13" ht="36" x14ac:dyDescent="0.2">
      <c r="A1010" s="247"/>
      <c r="B1010" s="172" t="s">
        <v>966</v>
      </c>
      <c r="C1010" s="171" t="s">
        <v>899</v>
      </c>
      <c r="D1010" s="172" t="s">
        <v>810</v>
      </c>
      <c r="E1010" s="166"/>
      <c r="F1010" s="194"/>
      <c r="G1010" s="192"/>
      <c r="H1010" s="192"/>
      <c r="I1010" s="192"/>
      <c r="J1010" s="192"/>
      <c r="K1010" s="192"/>
      <c r="L1010" s="192"/>
      <c r="M1010" s="246">
        <v>1</v>
      </c>
    </row>
    <row r="1011" spans="1:13" x14ac:dyDescent="0.2">
      <c r="A1011" s="247"/>
      <c r="B1011" s="172"/>
      <c r="C1011" s="196"/>
      <c r="D1011" s="172"/>
      <c r="E1011" s="166">
        <v>1</v>
      </c>
      <c r="F1011" s="194"/>
      <c r="G1011" s="192"/>
      <c r="H1011" s="192"/>
      <c r="I1011" s="192"/>
      <c r="J1011" s="192"/>
      <c r="K1011" s="192"/>
      <c r="L1011" s="192"/>
      <c r="M1011" s="294">
        <v>1</v>
      </c>
    </row>
    <row r="1012" spans="1:13" ht="48" x14ac:dyDescent="0.2">
      <c r="A1012" s="247" t="s">
        <v>900</v>
      </c>
      <c r="B1012" s="172" t="s">
        <v>967</v>
      </c>
      <c r="C1012" s="171" t="s">
        <v>901</v>
      </c>
      <c r="D1012" s="172" t="s">
        <v>803</v>
      </c>
      <c r="E1012" s="166"/>
      <c r="F1012" s="194"/>
      <c r="G1012" s="192"/>
      <c r="H1012" s="192"/>
      <c r="I1012" s="192"/>
      <c r="J1012" s="192"/>
      <c r="K1012" s="192"/>
      <c r="L1012" s="192"/>
      <c r="M1012" s="246">
        <v>12</v>
      </c>
    </row>
    <row r="1013" spans="1:13" x14ac:dyDescent="0.2">
      <c r="A1013" s="247"/>
      <c r="B1013" s="172"/>
      <c r="C1013" s="171"/>
      <c r="D1013" s="172"/>
      <c r="E1013" s="166"/>
      <c r="F1013" s="194"/>
      <c r="G1013" s="192">
        <v>12</v>
      </c>
      <c r="H1013" s="192"/>
      <c r="I1013" s="192"/>
      <c r="J1013" s="192"/>
      <c r="K1013" s="192"/>
      <c r="L1013" s="192"/>
      <c r="M1013" s="294">
        <v>12</v>
      </c>
    </row>
    <row r="1014" spans="1:13" ht="48" x14ac:dyDescent="0.2">
      <c r="A1014" s="247" t="s">
        <v>902</v>
      </c>
      <c r="B1014" s="172" t="s">
        <v>968</v>
      </c>
      <c r="C1014" s="171" t="s">
        <v>903</v>
      </c>
      <c r="D1014" s="172" t="s">
        <v>803</v>
      </c>
      <c r="E1014" s="166"/>
      <c r="F1014" s="194"/>
      <c r="G1014" s="192"/>
      <c r="H1014" s="192"/>
      <c r="I1014" s="192"/>
      <c r="J1014" s="192"/>
      <c r="K1014" s="192"/>
      <c r="L1014" s="192"/>
      <c r="M1014" s="246">
        <v>6</v>
      </c>
    </row>
    <row r="1015" spans="1:13" x14ac:dyDescent="0.2">
      <c r="A1015" s="247"/>
      <c r="B1015" s="172"/>
      <c r="C1015" s="171"/>
      <c r="D1015" s="172"/>
      <c r="E1015" s="166"/>
      <c r="F1015" s="194"/>
      <c r="G1015" s="192">
        <v>6</v>
      </c>
      <c r="H1015" s="192"/>
      <c r="I1015" s="192"/>
      <c r="J1015" s="192"/>
      <c r="K1015" s="192"/>
      <c r="L1015" s="192"/>
      <c r="M1015" s="294">
        <v>6</v>
      </c>
    </row>
    <row r="1016" spans="1:13" ht="60" x14ac:dyDescent="0.2">
      <c r="A1016" s="247" t="s">
        <v>904</v>
      </c>
      <c r="B1016" s="172" t="s">
        <v>969</v>
      </c>
      <c r="C1016" s="171" t="s">
        <v>905</v>
      </c>
      <c r="D1016" s="172" t="s">
        <v>810</v>
      </c>
      <c r="E1016" s="166"/>
      <c r="F1016" s="194"/>
      <c r="G1016" s="192"/>
      <c r="H1016" s="192"/>
      <c r="I1016" s="192"/>
      <c r="J1016" s="192"/>
      <c r="K1016" s="192"/>
      <c r="L1016" s="192"/>
      <c r="M1016" s="246">
        <v>6</v>
      </c>
    </row>
    <row r="1017" spans="1:13" x14ac:dyDescent="0.2">
      <c r="A1017" s="247"/>
      <c r="B1017" s="172"/>
      <c r="C1017" s="171"/>
      <c r="D1017" s="172"/>
      <c r="E1017" s="166">
        <v>6</v>
      </c>
      <c r="F1017" s="194"/>
      <c r="G1017" s="192"/>
      <c r="H1017" s="192"/>
      <c r="I1017" s="192"/>
      <c r="J1017" s="192"/>
      <c r="K1017" s="192"/>
      <c r="L1017" s="192"/>
      <c r="M1017" s="294">
        <v>6</v>
      </c>
    </row>
    <row r="1018" spans="1:13" ht="60" x14ac:dyDescent="0.2">
      <c r="A1018" s="247" t="s">
        <v>906</v>
      </c>
      <c r="B1018" s="172" t="s">
        <v>970</v>
      </c>
      <c r="C1018" s="171" t="s">
        <v>1004</v>
      </c>
      <c r="D1018" s="172" t="s">
        <v>803</v>
      </c>
      <c r="E1018" s="166"/>
      <c r="F1018" s="194"/>
      <c r="G1018" s="192"/>
      <c r="H1018" s="192"/>
      <c r="I1018" s="192"/>
      <c r="J1018" s="192"/>
      <c r="K1018" s="192"/>
      <c r="L1018" s="192"/>
      <c r="M1018" s="246">
        <v>36</v>
      </c>
    </row>
    <row r="1019" spans="1:13" x14ac:dyDescent="0.2">
      <c r="A1019" s="247"/>
      <c r="B1019" s="172"/>
      <c r="C1019" s="171"/>
      <c r="D1019" s="172"/>
      <c r="E1019" s="166"/>
      <c r="F1019" s="194"/>
      <c r="G1019" s="192">
        <v>36</v>
      </c>
      <c r="H1019" s="192"/>
      <c r="I1019" s="192"/>
      <c r="J1019" s="192"/>
      <c r="K1019" s="192"/>
      <c r="L1019" s="192"/>
      <c r="M1019" s="294">
        <v>36</v>
      </c>
    </row>
    <row r="1020" spans="1:13" ht="60" x14ac:dyDescent="0.2">
      <c r="A1020" s="247" t="s">
        <v>906</v>
      </c>
      <c r="B1020" s="172" t="s">
        <v>971</v>
      </c>
      <c r="C1020" s="171" t="s">
        <v>1004</v>
      </c>
      <c r="D1020" s="172" t="s">
        <v>803</v>
      </c>
      <c r="E1020" s="166"/>
      <c r="F1020" s="194"/>
      <c r="G1020" s="192"/>
      <c r="H1020" s="192"/>
      <c r="I1020" s="192"/>
      <c r="J1020" s="192"/>
      <c r="K1020" s="192"/>
      <c r="L1020" s="192"/>
      <c r="M1020" s="246">
        <v>12</v>
      </c>
    </row>
    <row r="1021" spans="1:13" x14ac:dyDescent="0.2">
      <c r="A1021" s="247"/>
      <c r="B1021" s="172"/>
      <c r="C1021" s="196"/>
      <c r="D1021" s="172"/>
      <c r="E1021" s="166"/>
      <c r="F1021" s="194"/>
      <c r="G1021" s="192">
        <v>12</v>
      </c>
      <c r="H1021" s="192"/>
      <c r="I1021" s="192"/>
      <c r="J1021" s="192"/>
      <c r="K1021" s="192"/>
      <c r="L1021" s="192"/>
      <c r="M1021" s="294">
        <v>12</v>
      </c>
    </row>
    <row r="1022" spans="1:13" x14ac:dyDescent="0.2">
      <c r="A1022" s="247"/>
      <c r="B1022" s="172" t="s">
        <v>377</v>
      </c>
      <c r="C1022" s="171" t="s">
        <v>1015</v>
      </c>
      <c r="D1022" s="172"/>
      <c r="E1022" s="166"/>
      <c r="F1022" s="194"/>
      <c r="G1022" s="192"/>
      <c r="H1022" s="192"/>
      <c r="I1022" s="192"/>
      <c r="J1022" s="192"/>
      <c r="K1022" s="192"/>
      <c r="L1022" s="192"/>
      <c r="M1022" s="246"/>
    </row>
    <row r="1023" spans="1:13" x14ac:dyDescent="0.2">
      <c r="A1023" s="247"/>
      <c r="B1023" s="172"/>
      <c r="C1023" s="196"/>
      <c r="D1023" s="172"/>
      <c r="E1023" s="166"/>
      <c r="F1023" s="194"/>
      <c r="G1023" s="192"/>
      <c r="H1023" s="192"/>
      <c r="I1023" s="192"/>
      <c r="J1023" s="192"/>
      <c r="K1023" s="192"/>
      <c r="L1023" s="192"/>
      <c r="M1023" s="294"/>
    </row>
    <row r="1024" spans="1:13" ht="36" x14ac:dyDescent="0.2">
      <c r="A1024" s="247">
        <v>98297</v>
      </c>
      <c r="B1024" s="172" t="s">
        <v>988</v>
      </c>
      <c r="C1024" s="171" t="s">
        <v>973</v>
      </c>
      <c r="D1024" s="172" t="s">
        <v>803</v>
      </c>
      <c r="E1024" s="166"/>
      <c r="F1024" s="178"/>
      <c r="G1024" s="179"/>
      <c r="H1024" s="180"/>
      <c r="I1024" s="180"/>
      <c r="J1024" s="180"/>
      <c r="K1024" s="180"/>
      <c r="L1024" s="179"/>
      <c r="M1024" s="246">
        <v>6100</v>
      </c>
    </row>
    <row r="1025" spans="1:13" x14ac:dyDescent="0.2">
      <c r="A1025" s="247"/>
      <c r="B1025" s="172"/>
      <c r="C1025" s="171"/>
      <c r="D1025" s="172"/>
      <c r="E1025" s="166"/>
      <c r="F1025" s="178"/>
      <c r="G1025" s="179">
        <v>6100</v>
      </c>
      <c r="H1025" s="180"/>
      <c r="I1025" s="180"/>
      <c r="J1025" s="180"/>
      <c r="K1025" s="180"/>
      <c r="L1025" s="179"/>
      <c r="M1025" s="291">
        <v>6100</v>
      </c>
    </row>
    <row r="1026" spans="1:13" ht="36" x14ac:dyDescent="0.2">
      <c r="A1026" s="247" t="s">
        <v>974</v>
      </c>
      <c r="B1026" s="172" t="s">
        <v>1016</v>
      </c>
      <c r="C1026" s="171" t="s">
        <v>975</v>
      </c>
      <c r="D1026" s="165" t="s">
        <v>810</v>
      </c>
      <c r="E1026" s="166"/>
      <c r="F1026" s="165"/>
      <c r="G1026" s="179"/>
      <c r="H1026" s="180"/>
      <c r="I1026" s="180"/>
      <c r="J1026" s="180"/>
      <c r="K1026" s="180"/>
      <c r="L1026" s="179"/>
      <c r="M1026" s="246">
        <v>88</v>
      </c>
    </row>
    <row r="1027" spans="1:13" x14ac:dyDescent="0.2">
      <c r="A1027" s="247"/>
      <c r="B1027" s="172"/>
      <c r="C1027" s="171"/>
      <c r="D1027" s="165"/>
      <c r="E1027" s="166">
        <v>88</v>
      </c>
      <c r="F1027" s="165"/>
      <c r="G1027" s="179"/>
      <c r="H1027" s="180"/>
      <c r="I1027" s="180"/>
      <c r="J1027" s="180"/>
      <c r="K1027" s="180"/>
      <c r="L1027" s="179"/>
      <c r="M1027" s="291">
        <v>88</v>
      </c>
    </row>
    <row r="1028" spans="1:13" ht="24" x14ac:dyDescent="0.2">
      <c r="A1028" s="247" t="s">
        <v>976</v>
      </c>
      <c r="B1028" s="172" t="s">
        <v>1017</v>
      </c>
      <c r="C1028" s="171" t="s">
        <v>977</v>
      </c>
      <c r="D1028" s="165" t="s">
        <v>810</v>
      </c>
      <c r="E1028" s="167"/>
      <c r="F1028" s="168"/>
      <c r="G1028" s="179"/>
      <c r="H1028" s="180"/>
      <c r="I1028" s="180"/>
      <c r="J1028" s="180"/>
      <c r="K1028" s="180"/>
      <c r="L1028" s="179"/>
      <c r="M1028" s="246">
        <v>88</v>
      </c>
    </row>
    <row r="1029" spans="1:13" x14ac:dyDescent="0.2">
      <c r="A1029" s="247"/>
      <c r="B1029" s="172"/>
      <c r="C1029" s="171"/>
      <c r="D1029" s="165"/>
      <c r="E1029" s="167">
        <v>88</v>
      </c>
      <c r="F1029" s="168"/>
      <c r="G1029" s="179"/>
      <c r="H1029" s="180"/>
      <c r="I1029" s="180"/>
      <c r="J1029" s="180"/>
      <c r="K1029" s="180"/>
      <c r="L1029" s="179"/>
      <c r="M1029" s="291">
        <v>88</v>
      </c>
    </row>
    <row r="1030" spans="1:13" ht="36" x14ac:dyDescent="0.2">
      <c r="A1030" s="247" t="s">
        <v>978</v>
      </c>
      <c r="B1030" s="172" t="s">
        <v>1018</v>
      </c>
      <c r="C1030" s="171" t="s">
        <v>979</v>
      </c>
      <c r="D1030" s="172" t="s">
        <v>803</v>
      </c>
      <c r="E1030" s="166"/>
      <c r="F1030" s="165"/>
      <c r="G1030" s="179"/>
      <c r="H1030" s="180"/>
      <c r="I1030" s="180"/>
      <c r="J1030" s="180"/>
      <c r="K1030" s="180"/>
      <c r="L1030" s="179"/>
      <c r="M1030" s="246">
        <v>300</v>
      </c>
    </row>
    <row r="1031" spans="1:13" x14ac:dyDescent="0.2">
      <c r="A1031" s="247"/>
      <c r="B1031" s="172"/>
      <c r="C1031" s="171"/>
      <c r="D1031" s="172"/>
      <c r="E1031" s="166"/>
      <c r="F1031" s="165"/>
      <c r="G1031" s="179">
        <v>300</v>
      </c>
      <c r="H1031" s="180"/>
      <c r="I1031" s="180"/>
      <c r="J1031" s="180"/>
      <c r="K1031" s="180"/>
      <c r="L1031" s="179"/>
      <c r="M1031" s="291">
        <v>300</v>
      </c>
    </row>
    <row r="1032" spans="1:13" ht="60" x14ac:dyDescent="0.2">
      <c r="A1032" s="247" t="s">
        <v>980</v>
      </c>
      <c r="B1032" s="172" t="s">
        <v>1019</v>
      </c>
      <c r="C1032" s="171" t="s">
        <v>981</v>
      </c>
      <c r="D1032" s="172" t="s">
        <v>803</v>
      </c>
      <c r="E1032" s="166"/>
      <c r="F1032" s="165"/>
      <c r="G1032" s="179"/>
      <c r="H1032" s="180"/>
      <c r="I1032" s="180"/>
      <c r="J1032" s="180"/>
      <c r="K1032" s="180"/>
      <c r="L1032" s="179"/>
      <c r="M1032" s="246">
        <v>160</v>
      </c>
    </row>
    <row r="1033" spans="1:13" x14ac:dyDescent="0.2">
      <c r="A1033" s="247"/>
      <c r="B1033" s="172"/>
      <c r="C1033" s="171"/>
      <c r="D1033" s="172"/>
      <c r="E1033" s="166"/>
      <c r="F1033" s="165"/>
      <c r="G1033" s="179">
        <v>160</v>
      </c>
      <c r="H1033" s="180"/>
      <c r="I1033" s="180"/>
      <c r="J1033" s="180"/>
      <c r="K1033" s="180"/>
      <c r="L1033" s="179"/>
      <c r="M1033" s="291">
        <v>160</v>
      </c>
    </row>
    <row r="1034" spans="1:13" ht="60" x14ac:dyDescent="0.2">
      <c r="A1034" s="247" t="s">
        <v>982</v>
      </c>
      <c r="B1034" s="172" t="s">
        <v>1020</v>
      </c>
      <c r="C1034" s="171" t="s">
        <v>983</v>
      </c>
      <c r="D1034" s="172" t="s">
        <v>803</v>
      </c>
      <c r="E1034" s="166"/>
      <c r="F1034" s="165"/>
      <c r="G1034" s="179"/>
      <c r="H1034" s="180"/>
      <c r="I1034" s="180"/>
      <c r="J1034" s="180"/>
      <c r="K1034" s="180"/>
      <c r="L1034" s="179"/>
      <c r="M1034" s="246">
        <v>90</v>
      </c>
    </row>
    <row r="1035" spans="1:13" x14ac:dyDescent="0.2">
      <c r="A1035" s="247"/>
      <c r="B1035" s="172"/>
      <c r="C1035" s="171"/>
      <c r="D1035" s="172"/>
      <c r="E1035" s="166"/>
      <c r="F1035" s="165"/>
      <c r="G1035" s="179">
        <v>90</v>
      </c>
      <c r="H1035" s="180"/>
      <c r="I1035" s="180"/>
      <c r="J1035" s="180"/>
      <c r="K1035" s="180"/>
      <c r="L1035" s="179"/>
      <c r="M1035" s="291">
        <v>90</v>
      </c>
    </row>
    <row r="1036" spans="1:13" ht="36" x14ac:dyDescent="0.2">
      <c r="A1036" s="247" t="s">
        <v>984</v>
      </c>
      <c r="B1036" s="172" t="s">
        <v>1021</v>
      </c>
      <c r="C1036" s="171" t="s">
        <v>985</v>
      </c>
      <c r="D1036" s="165" t="s">
        <v>810</v>
      </c>
      <c r="E1036" s="166"/>
      <c r="F1036" s="178"/>
      <c r="G1036" s="179"/>
      <c r="H1036" s="180"/>
      <c r="I1036" s="180"/>
      <c r="J1036" s="180"/>
      <c r="K1036" s="180"/>
      <c r="L1036" s="179"/>
      <c r="M1036" s="246">
        <v>20</v>
      </c>
    </row>
    <row r="1037" spans="1:13" x14ac:dyDescent="0.2">
      <c r="A1037" s="247"/>
      <c r="B1037" s="172"/>
      <c r="C1037" s="171"/>
      <c r="D1037" s="165"/>
      <c r="E1037" s="166">
        <v>20</v>
      </c>
      <c r="F1037" s="178"/>
      <c r="G1037" s="179"/>
      <c r="H1037" s="180"/>
      <c r="I1037" s="180"/>
      <c r="J1037" s="180"/>
      <c r="K1037" s="180"/>
      <c r="L1037" s="179"/>
      <c r="M1037" s="291">
        <v>20</v>
      </c>
    </row>
    <row r="1038" spans="1:13" ht="24" x14ac:dyDescent="0.2">
      <c r="A1038" s="247" t="s">
        <v>986</v>
      </c>
      <c r="B1038" s="172" t="s">
        <v>1022</v>
      </c>
      <c r="C1038" s="171" t="s">
        <v>987</v>
      </c>
      <c r="D1038" s="165" t="s">
        <v>810</v>
      </c>
      <c r="E1038" s="166"/>
      <c r="F1038" s="178"/>
      <c r="G1038" s="179"/>
      <c r="H1038" s="180"/>
      <c r="I1038" s="180"/>
      <c r="J1038" s="180"/>
      <c r="K1038" s="180"/>
      <c r="L1038" s="179"/>
      <c r="M1038" s="246">
        <v>88</v>
      </c>
    </row>
    <row r="1039" spans="1:13" x14ac:dyDescent="0.2">
      <c r="A1039" s="250"/>
      <c r="B1039" s="350"/>
      <c r="C1039" s="219"/>
      <c r="D1039" s="350"/>
      <c r="E1039" s="220">
        <v>88</v>
      </c>
      <c r="F1039" s="352"/>
      <c r="G1039" s="312"/>
      <c r="H1039" s="313"/>
      <c r="I1039" s="313"/>
      <c r="J1039" s="313"/>
      <c r="K1039" s="313"/>
      <c r="L1039" s="312"/>
      <c r="M1039" s="314">
        <v>88</v>
      </c>
    </row>
    <row r="1040" spans="1:13" x14ac:dyDescent="0.2">
      <c r="A1040" s="231"/>
      <c r="B1040" s="9"/>
      <c r="C1040" s="7"/>
      <c r="D1040" s="17"/>
      <c r="E1040" s="218"/>
      <c r="F1040" s="218"/>
      <c r="G1040" s="218"/>
      <c r="H1040" s="218"/>
      <c r="I1040" s="218"/>
      <c r="J1040" s="218"/>
      <c r="K1040" s="218"/>
      <c r="L1040" s="218"/>
      <c r="M1040" s="273"/>
    </row>
    <row r="1041" spans="1:13" x14ac:dyDescent="0.2">
      <c r="A1041" s="231"/>
      <c r="B1041" s="9"/>
      <c r="C1041" s="11"/>
      <c r="D1041" s="10"/>
      <c r="E1041" s="218"/>
      <c r="F1041" s="218"/>
      <c r="G1041" s="218"/>
      <c r="H1041" s="218"/>
      <c r="I1041" s="218"/>
      <c r="J1041" s="218"/>
      <c r="K1041" s="218"/>
      <c r="L1041" s="218"/>
      <c r="M1041" s="273"/>
    </row>
    <row r="1042" spans="1:13" x14ac:dyDescent="0.2">
      <c r="A1042" s="274"/>
      <c r="B1042" s="29" t="s">
        <v>126</v>
      </c>
      <c r="C1042" s="30" t="s">
        <v>123</v>
      </c>
      <c r="D1042" s="31"/>
      <c r="E1042" s="31"/>
      <c r="F1042" s="31"/>
      <c r="G1042" s="31"/>
      <c r="H1042" s="31"/>
      <c r="I1042" s="31"/>
      <c r="J1042" s="31"/>
      <c r="K1042" s="31"/>
      <c r="L1042" s="31"/>
      <c r="M1042" s="275"/>
    </row>
    <row r="1043" spans="1:13" ht="72" x14ac:dyDescent="0.2">
      <c r="A1043" s="235" t="s">
        <v>452</v>
      </c>
      <c r="B1043" s="9" t="s">
        <v>313</v>
      </c>
      <c r="C1043" s="7" t="s">
        <v>672</v>
      </c>
      <c r="D1043" s="17" t="s">
        <v>17</v>
      </c>
      <c r="E1043" s="218"/>
      <c r="F1043" s="218"/>
      <c r="G1043" s="218"/>
      <c r="H1043" s="218"/>
      <c r="I1043" s="218"/>
      <c r="J1043" s="218"/>
      <c r="K1043" s="218"/>
      <c r="L1043" s="218"/>
      <c r="M1043" s="272">
        <f>SUM(M1044:M1045)</f>
        <v>1643.1179</v>
      </c>
    </row>
    <row r="1044" spans="1:13" x14ac:dyDescent="0.2">
      <c r="A1044" s="235"/>
      <c r="B1044" s="9"/>
      <c r="C1044" s="7" t="s">
        <v>671</v>
      </c>
      <c r="D1044" s="17"/>
      <c r="E1044" s="218"/>
      <c r="F1044" s="218"/>
      <c r="G1044" s="218"/>
      <c r="H1044" s="218"/>
      <c r="I1044" s="218"/>
      <c r="J1044" s="43"/>
      <c r="K1044" s="218"/>
      <c r="L1044" s="218"/>
      <c r="M1044" s="282">
        <f>SUM(K1214,J1275:J1276)</f>
        <v>1832.4244000000001</v>
      </c>
    </row>
    <row r="1045" spans="1:13" ht="24" x14ac:dyDescent="0.2">
      <c r="A1045" s="235"/>
      <c r="B1045" s="9"/>
      <c r="C1045" s="7" t="s">
        <v>673</v>
      </c>
      <c r="D1045" s="17"/>
      <c r="E1045" s="37"/>
      <c r="F1045" s="218"/>
      <c r="G1045" s="218"/>
      <c r="H1045" s="218"/>
      <c r="I1045" s="218"/>
      <c r="J1045" s="218"/>
      <c r="K1045" s="218"/>
      <c r="L1045" s="218"/>
      <c r="M1045" s="282">
        <f>-M431</f>
        <v>-189.30650000000009</v>
      </c>
    </row>
    <row r="1046" spans="1:13" x14ac:dyDescent="0.2">
      <c r="A1046" s="235"/>
      <c r="B1046" s="9"/>
      <c r="C1046" s="7"/>
      <c r="D1046" s="17"/>
      <c r="E1046" s="37"/>
      <c r="F1046" s="218"/>
      <c r="G1046" s="218"/>
      <c r="H1046" s="218"/>
      <c r="I1046" s="218"/>
      <c r="J1046" s="218"/>
      <c r="K1046" s="218"/>
      <c r="L1046" s="218"/>
      <c r="M1046" s="273"/>
    </row>
    <row r="1047" spans="1:13" x14ac:dyDescent="0.2">
      <c r="A1047" s="235"/>
      <c r="B1047" s="9"/>
      <c r="C1047" s="7"/>
      <c r="D1047" s="17"/>
      <c r="E1047" s="37"/>
      <c r="F1047" s="218"/>
      <c r="G1047" s="218"/>
      <c r="H1047" s="218"/>
      <c r="I1047" s="218"/>
      <c r="J1047" s="218"/>
      <c r="K1047" s="218"/>
      <c r="L1047" s="218"/>
      <c r="M1047" s="273"/>
    </row>
    <row r="1048" spans="1:13" x14ac:dyDescent="0.2">
      <c r="A1048" s="235"/>
      <c r="B1048" s="9"/>
      <c r="C1048" s="7"/>
      <c r="D1048" s="17"/>
      <c r="E1048" s="37"/>
      <c r="F1048" s="218"/>
      <c r="G1048" s="218"/>
      <c r="H1048" s="218"/>
      <c r="I1048" s="218"/>
      <c r="J1048" s="218"/>
      <c r="K1048" s="218"/>
      <c r="L1048" s="218"/>
      <c r="M1048" s="273"/>
    </row>
    <row r="1049" spans="1:13" x14ac:dyDescent="0.2">
      <c r="A1049" s="235"/>
      <c r="B1049" s="9"/>
      <c r="C1049" s="7" t="s">
        <v>453</v>
      </c>
      <c r="D1049" s="408" t="s">
        <v>494</v>
      </c>
      <c r="E1049" s="409"/>
      <c r="F1049" s="218"/>
      <c r="G1049" s="218"/>
      <c r="H1049" s="218"/>
      <c r="I1049" s="218"/>
      <c r="J1049" s="218"/>
      <c r="K1049" s="218"/>
      <c r="L1049" s="218"/>
      <c r="M1049" s="282">
        <f>SUM(M1051:M1064)</f>
        <v>220.10199999999998</v>
      </c>
    </row>
    <row r="1050" spans="1:13" x14ac:dyDescent="0.2">
      <c r="A1050" s="235"/>
      <c r="B1050" s="9"/>
      <c r="C1050" s="7" t="s">
        <v>454</v>
      </c>
      <c r="D1050" s="17"/>
      <c r="E1050" s="218"/>
      <c r="F1050" s="218"/>
      <c r="G1050" s="218">
        <v>14.6</v>
      </c>
      <c r="H1050" s="218"/>
      <c r="I1050" s="218">
        <v>2.2999999999999998</v>
      </c>
      <c r="J1050" s="218">
        <f>G1050*I1050</f>
        <v>33.58</v>
      </c>
      <c r="K1050" s="218"/>
      <c r="L1050" s="218"/>
      <c r="M1050" s="273"/>
    </row>
    <row r="1051" spans="1:13" x14ac:dyDescent="0.2">
      <c r="A1051" s="235"/>
      <c r="B1051" s="9"/>
      <c r="C1051" s="7" t="s">
        <v>455</v>
      </c>
      <c r="D1051" s="17"/>
      <c r="E1051" s="218"/>
      <c r="F1051" s="218"/>
      <c r="G1051" s="218"/>
      <c r="H1051" s="218"/>
      <c r="I1051" s="218"/>
      <c r="J1051" s="218">
        <v>-4.5599999999999996</v>
      </c>
      <c r="K1051" s="218"/>
      <c r="L1051" s="218"/>
      <c r="M1051" s="273">
        <f>J1050+J1051</f>
        <v>29.02</v>
      </c>
    </row>
    <row r="1052" spans="1:13" x14ac:dyDescent="0.2">
      <c r="A1052" s="235"/>
      <c r="B1052" s="9"/>
      <c r="C1052" s="7"/>
      <c r="D1052" s="17"/>
      <c r="E1052" s="218"/>
      <c r="F1052" s="218"/>
      <c r="G1052" s="218"/>
      <c r="H1052" s="218"/>
      <c r="I1052" s="218"/>
      <c r="J1052" s="139"/>
      <c r="K1052" s="218"/>
      <c r="L1052" s="218"/>
      <c r="M1052" s="273"/>
    </row>
    <row r="1053" spans="1:13" x14ac:dyDescent="0.2">
      <c r="A1053" s="235"/>
      <c r="B1053" s="9"/>
      <c r="C1053" s="7" t="s">
        <v>456</v>
      </c>
      <c r="D1053" s="17"/>
      <c r="E1053" s="218"/>
      <c r="F1053" s="218"/>
      <c r="G1053" s="218"/>
      <c r="H1053" s="218"/>
      <c r="I1053" s="218"/>
      <c r="J1053" s="218"/>
      <c r="K1053" s="218"/>
      <c r="L1053" s="218"/>
      <c r="M1053" s="273"/>
    </row>
    <row r="1054" spans="1:13" x14ac:dyDescent="0.2">
      <c r="A1054" s="235"/>
      <c r="B1054" s="9"/>
      <c r="C1054" s="7" t="s">
        <v>457</v>
      </c>
      <c r="D1054" s="17"/>
      <c r="E1054" s="218"/>
      <c r="F1054" s="218"/>
      <c r="G1054" s="218"/>
      <c r="H1054" s="218"/>
      <c r="I1054" s="218"/>
      <c r="J1054" s="218"/>
      <c r="K1054" s="218"/>
      <c r="L1054" s="218"/>
      <c r="M1054" s="273"/>
    </row>
    <row r="1055" spans="1:13" x14ac:dyDescent="0.2">
      <c r="A1055" s="235"/>
      <c r="B1055" s="9"/>
      <c r="C1055" s="7">
        <v>14.3</v>
      </c>
      <c r="D1055" s="17"/>
      <c r="E1055" s="218"/>
      <c r="F1055" s="218"/>
      <c r="G1055" s="218"/>
      <c r="H1055" s="218"/>
      <c r="I1055" s="218"/>
      <c r="J1055" s="218"/>
      <c r="K1055" s="218"/>
      <c r="L1055" s="218"/>
      <c r="M1055" s="273"/>
    </row>
    <row r="1056" spans="1:13" x14ac:dyDescent="0.2">
      <c r="A1056" s="235"/>
      <c r="B1056" s="9"/>
      <c r="C1056" s="7" t="s">
        <v>458</v>
      </c>
      <c r="D1056" s="17"/>
      <c r="E1056" s="218"/>
      <c r="F1056" s="218"/>
      <c r="G1056" s="218">
        <v>61.14</v>
      </c>
      <c r="H1056" s="218"/>
      <c r="I1056" s="218">
        <v>2.2999999999999998</v>
      </c>
      <c r="J1056" s="218">
        <f>G1056*I1056</f>
        <v>140.62199999999999</v>
      </c>
      <c r="K1056" s="218"/>
      <c r="L1056" s="218"/>
      <c r="M1056" s="273"/>
    </row>
    <row r="1057" spans="1:13" x14ac:dyDescent="0.2">
      <c r="A1057" s="235"/>
      <c r="B1057" s="9"/>
      <c r="C1057" s="7" t="s">
        <v>459</v>
      </c>
      <c r="D1057" s="17"/>
      <c r="E1057" s="218"/>
      <c r="F1057" s="218"/>
      <c r="G1057" s="218">
        <v>12</v>
      </c>
      <c r="H1057" s="218"/>
      <c r="I1057" s="218">
        <v>2.2999999999999998</v>
      </c>
      <c r="J1057" s="218">
        <f>G1057*I1057</f>
        <v>27.599999999999998</v>
      </c>
      <c r="K1057" s="218"/>
      <c r="L1057" s="218"/>
      <c r="M1057" s="273"/>
    </row>
    <row r="1058" spans="1:13" x14ac:dyDescent="0.2">
      <c r="A1058" s="235"/>
      <c r="B1058" s="9"/>
      <c r="C1058" s="7" t="s">
        <v>460</v>
      </c>
      <c r="D1058" s="17"/>
      <c r="E1058" s="218"/>
      <c r="F1058" s="218"/>
      <c r="G1058" s="218"/>
      <c r="H1058" s="218"/>
      <c r="I1058" s="218"/>
      <c r="J1058" s="218">
        <v>-5.4</v>
      </c>
      <c r="K1058" s="218"/>
      <c r="L1058" s="218"/>
      <c r="M1058" s="273"/>
    </row>
    <row r="1059" spans="1:13" x14ac:dyDescent="0.2">
      <c r="A1059" s="235"/>
      <c r="B1059" s="9"/>
      <c r="C1059" s="7" t="s">
        <v>461</v>
      </c>
      <c r="D1059" s="17"/>
      <c r="E1059" s="218"/>
      <c r="F1059" s="218"/>
      <c r="G1059" s="218"/>
      <c r="H1059" s="218"/>
      <c r="I1059" s="218"/>
      <c r="J1059" s="218">
        <v>-1.68</v>
      </c>
      <c r="K1059" s="218"/>
      <c r="L1059" s="218"/>
      <c r="M1059" s="273">
        <f>J1056+J1057+J1058+J1059</f>
        <v>161.14199999999997</v>
      </c>
    </row>
    <row r="1060" spans="1:13" x14ac:dyDescent="0.2">
      <c r="A1060" s="235"/>
      <c r="B1060" s="9"/>
      <c r="C1060" s="7" t="s">
        <v>462</v>
      </c>
      <c r="D1060" s="17"/>
      <c r="E1060" s="218"/>
      <c r="F1060" s="218"/>
      <c r="G1060" s="218"/>
      <c r="H1060" s="218"/>
      <c r="I1060" s="218"/>
      <c r="J1060" s="218"/>
      <c r="K1060" s="218"/>
      <c r="L1060" s="218"/>
      <c r="M1060" s="273"/>
    </row>
    <row r="1061" spans="1:13" x14ac:dyDescent="0.2">
      <c r="A1061" s="235"/>
      <c r="B1061" s="9"/>
      <c r="C1061" s="7"/>
      <c r="D1061" s="17"/>
      <c r="E1061" s="218"/>
      <c r="F1061" s="218"/>
      <c r="G1061" s="218"/>
      <c r="H1061" s="218"/>
      <c r="I1061" s="218"/>
      <c r="J1061" s="218"/>
      <c r="K1061" s="218"/>
      <c r="L1061" s="218"/>
      <c r="M1061" s="273"/>
    </row>
    <row r="1062" spans="1:13" x14ac:dyDescent="0.2">
      <c r="A1062" s="235"/>
      <c r="B1062" s="9"/>
      <c r="C1062" s="7" t="s">
        <v>463</v>
      </c>
      <c r="D1062" s="17"/>
      <c r="E1062" s="218"/>
      <c r="F1062" s="218"/>
      <c r="G1062" s="218"/>
      <c r="H1062" s="218"/>
      <c r="I1062" s="218"/>
      <c r="J1062" s="218"/>
      <c r="K1062" s="218"/>
      <c r="L1062" s="218"/>
      <c r="M1062" s="273"/>
    </row>
    <row r="1063" spans="1:13" x14ac:dyDescent="0.2">
      <c r="A1063" s="235"/>
      <c r="B1063" s="9"/>
      <c r="C1063" s="7" t="s">
        <v>464</v>
      </c>
      <c r="D1063" s="17"/>
      <c r="E1063" s="218"/>
      <c r="F1063" s="218"/>
      <c r="G1063" s="218">
        <v>13.8</v>
      </c>
      <c r="H1063" s="218"/>
      <c r="I1063" s="218">
        <v>2.5</v>
      </c>
      <c r="J1063" s="218">
        <f>G1063*I1063</f>
        <v>34.5</v>
      </c>
      <c r="K1063" s="218"/>
      <c r="L1063" s="218"/>
      <c r="M1063" s="273"/>
    </row>
    <row r="1064" spans="1:13" x14ac:dyDescent="0.2">
      <c r="A1064" s="235"/>
      <c r="B1064" s="9"/>
      <c r="C1064" s="7" t="s">
        <v>465</v>
      </c>
      <c r="D1064" s="17"/>
      <c r="E1064" s="218"/>
      <c r="F1064" s="218"/>
      <c r="G1064" s="218"/>
      <c r="H1064" s="218"/>
      <c r="I1064" s="218"/>
      <c r="J1064" s="218">
        <v>-4.5599999999999996</v>
      </c>
      <c r="K1064" s="218"/>
      <c r="L1064" s="218"/>
      <c r="M1064" s="273">
        <f>J1063+J1064</f>
        <v>29.94</v>
      </c>
    </row>
    <row r="1065" spans="1:13" x14ac:dyDescent="0.2">
      <c r="A1065" s="235"/>
      <c r="B1065" s="9"/>
      <c r="C1065" s="7"/>
      <c r="D1065" s="17"/>
      <c r="E1065" s="218"/>
      <c r="F1065" s="218"/>
      <c r="G1065" s="218"/>
      <c r="H1065" s="218"/>
      <c r="I1065" s="218"/>
      <c r="J1065" s="218"/>
      <c r="K1065" s="218"/>
      <c r="L1065" s="218"/>
      <c r="M1065" s="273"/>
    </row>
    <row r="1066" spans="1:13" ht="15" customHeight="1" x14ac:dyDescent="0.2">
      <c r="A1066" s="235"/>
      <c r="B1066" s="9"/>
      <c r="C1066" s="7" t="s">
        <v>466</v>
      </c>
      <c r="D1066" s="17"/>
      <c r="E1066" s="218"/>
      <c r="F1066" s="218"/>
      <c r="G1066" s="216"/>
      <c r="H1066" s="416" t="s">
        <v>453</v>
      </c>
      <c r="I1066" s="416"/>
      <c r="J1066" s="215" t="s">
        <v>533</v>
      </c>
      <c r="K1066" s="417">
        <v>175.03</v>
      </c>
      <c r="L1066" s="418"/>
      <c r="M1066" s="295"/>
    </row>
    <row r="1067" spans="1:13" ht="15.75" customHeight="1" thickBot="1" x14ac:dyDescent="0.25">
      <c r="A1067" s="235"/>
      <c r="B1067" s="9"/>
      <c r="C1067" s="7" t="s">
        <v>496</v>
      </c>
      <c r="D1067" s="17"/>
      <c r="E1067" s="218"/>
      <c r="F1067" s="218"/>
      <c r="G1067" s="216"/>
      <c r="H1067" s="416"/>
      <c r="I1067" s="416"/>
      <c r="J1067" s="215" t="s">
        <v>534</v>
      </c>
      <c r="K1067" s="419">
        <v>220.1</v>
      </c>
      <c r="L1067" s="420"/>
      <c r="M1067" s="273"/>
    </row>
    <row r="1068" spans="1:13" ht="15" thickBot="1" x14ac:dyDescent="0.25">
      <c r="A1068" s="235"/>
      <c r="B1068" s="9"/>
      <c r="C1068" s="33" t="s">
        <v>467</v>
      </c>
      <c r="D1068" s="17"/>
      <c r="E1068" s="218"/>
      <c r="F1068" s="218"/>
      <c r="G1068" s="218"/>
      <c r="H1068" s="218"/>
      <c r="I1068" s="218"/>
      <c r="J1068" s="296"/>
      <c r="K1068" s="410">
        <f>M1049+K1066</f>
        <v>395.13199999999995</v>
      </c>
      <c r="L1068" s="411"/>
      <c r="M1068" s="297"/>
    </row>
    <row r="1069" spans="1:13" x14ac:dyDescent="0.2">
      <c r="A1069" s="235"/>
      <c r="B1069" s="9"/>
      <c r="C1069" s="7"/>
      <c r="D1069" s="17"/>
      <c r="E1069" s="218"/>
      <c r="F1069" s="218"/>
      <c r="G1069" s="218"/>
      <c r="H1069" s="218"/>
      <c r="I1069" s="218"/>
      <c r="J1069" s="218"/>
      <c r="K1069" s="218"/>
      <c r="L1069" s="218"/>
      <c r="M1069" s="273"/>
    </row>
    <row r="1070" spans="1:13" x14ac:dyDescent="0.2">
      <c r="A1070" s="235"/>
      <c r="B1070" s="9"/>
      <c r="C1070" s="7" t="s">
        <v>493</v>
      </c>
      <c r="D1070" s="408" t="s">
        <v>494</v>
      </c>
      <c r="E1070" s="409"/>
      <c r="F1070" s="218"/>
      <c r="G1070" s="218"/>
      <c r="H1070" s="218"/>
      <c r="I1070" s="218"/>
      <c r="J1070" s="218"/>
      <c r="K1070" s="218"/>
      <c r="L1070" s="218"/>
      <c r="M1070" s="282">
        <f>SUM(M1072:M1097)</f>
        <v>330.71799999999996</v>
      </c>
    </row>
    <row r="1071" spans="1:13" x14ac:dyDescent="0.2">
      <c r="A1071" s="235"/>
      <c r="B1071" s="9"/>
      <c r="C1071" s="7" t="s">
        <v>468</v>
      </c>
      <c r="D1071" s="17"/>
      <c r="E1071" s="218"/>
      <c r="F1071" s="218"/>
      <c r="G1071" s="218"/>
      <c r="H1071" s="218"/>
      <c r="I1071" s="218"/>
      <c r="J1071" s="218"/>
      <c r="K1071" s="218"/>
      <c r="L1071" s="218"/>
      <c r="M1071" s="273"/>
    </row>
    <row r="1072" spans="1:13" x14ac:dyDescent="0.2">
      <c r="A1072" s="235"/>
      <c r="B1072" s="9"/>
      <c r="C1072" s="7" t="s">
        <v>469</v>
      </c>
      <c r="D1072" s="17"/>
      <c r="E1072" s="218"/>
      <c r="F1072" s="218"/>
      <c r="G1072" s="218">
        <v>11.52</v>
      </c>
      <c r="H1072" s="218"/>
      <c r="I1072" s="218">
        <v>2.4</v>
      </c>
      <c r="J1072" s="218">
        <f>G1072*I1072</f>
        <v>27.648</v>
      </c>
      <c r="K1072" s="218"/>
      <c r="L1072" s="218"/>
      <c r="M1072" s="273"/>
    </row>
    <row r="1073" spans="1:13" x14ac:dyDescent="0.2">
      <c r="A1073" s="235"/>
      <c r="B1073" s="9"/>
      <c r="C1073" s="7" t="s">
        <v>470</v>
      </c>
      <c r="D1073" s="17"/>
      <c r="E1073" s="218"/>
      <c r="F1073" s="218"/>
      <c r="G1073" s="218"/>
      <c r="H1073" s="218"/>
      <c r="I1073" s="218"/>
      <c r="J1073" s="218">
        <v>-8.4</v>
      </c>
      <c r="K1073" s="218"/>
      <c r="L1073" s="218"/>
      <c r="M1073" s="273">
        <f>J1072+J1073</f>
        <v>19.247999999999998</v>
      </c>
    </row>
    <row r="1074" spans="1:13" x14ac:dyDescent="0.2">
      <c r="A1074" s="235"/>
      <c r="B1074" s="9"/>
      <c r="C1074" s="7"/>
      <c r="D1074" s="17"/>
      <c r="E1074" s="218"/>
      <c r="F1074" s="218"/>
      <c r="G1074" s="218"/>
      <c r="H1074" s="218"/>
      <c r="I1074" s="218"/>
      <c r="J1074" s="218"/>
      <c r="K1074" s="218"/>
      <c r="L1074" s="218"/>
      <c r="M1074" s="273"/>
    </row>
    <row r="1075" spans="1:13" x14ac:dyDescent="0.2">
      <c r="A1075" s="235"/>
      <c r="B1075" s="9"/>
      <c r="C1075" s="7" t="s">
        <v>471</v>
      </c>
      <c r="D1075" s="17"/>
      <c r="E1075" s="218"/>
      <c r="F1075" s="218"/>
      <c r="G1075" s="218"/>
      <c r="H1075" s="218"/>
      <c r="I1075" s="218"/>
      <c r="J1075" s="218"/>
      <c r="K1075" s="218"/>
      <c r="L1075" s="218"/>
      <c r="M1075" s="273"/>
    </row>
    <row r="1076" spans="1:13" x14ac:dyDescent="0.2">
      <c r="A1076" s="235"/>
      <c r="B1076" s="9"/>
      <c r="C1076" s="7" t="s">
        <v>472</v>
      </c>
      <c r="D1076" s="17"/>
      <c r="E1076" s="218"/>
      <c r="F1076" s="218"/>
      <c r="G1076" s="218">
        <v>12.95</v>
      </c>
      <c r="H1076" s="218"/>
      <c r="I1076" s="218">
        <v>2.4</v>
      </c>
      <c r="J1076" s="218">
        <f>G1076*I1076</f>
        <v>31.08</v>
      </c>
      <c r="K1076" s="218"/>
      <c r="L1076" s="218"/>
      <c r="M1076" s="273"/>
    </row>
    <row r="1077" spans="1:13" x14ac:dyDescent="0.2">
      <c r="A1077" s="235"/>
      <c r="B1077" s="9"/>
      <c r="C1077" s="7" t="s">
        <v>473</v>
      </c>
      <c r="D1077" s="17"/>
      <c r="E1077" s="218"/>
      <c r="F1077" s="218"/>
      <c r="G1077" s="218"/>
      <c r="H1077" s="218"/>
      <c r="I1077" s="218"/>
      <c r="J1077" s="218">
        <v>-1.62</v>
      </c>
      <c r="K1077" s="218"/>
      <c r="L1077" s="218"/>
      <c r="M1077" s="273"/>
    </row>
    <row r="1078" spans="1:13" x14ac:dyDescent="0.2">
      <c r="A1078" s="235"/>
      <c r="B1078" s="9"/>
      <c r="C1078" s="7" t="s">
        <v>474</v>
      </c>
      <c r="D1078" s="17"/>
      <c r="E1078" s="218"/>
      <c r="F1078" s="218"/>
      <c r="G1078" s="218">
        <v>1</v>
      </c>
      <c r="H1078" s="218"/>
      <c r="I1078" s="218">
        <v>2.4</v>
      </c>
      <c r="J1078" s="218">
        <v>2.4</v>
      </c>
      <c r="K1078" s="218"/>
      <c r="L1078" s="218"/>
      <c r="M1078" s="273">
        <f>J1076+J1077+J1078</f>
        <v>31.859999999999996</v>
      </c>
    </row>
    <row r="1079" spans="1:13" x14ac:dyDescent="0.2">
      <c r="A1079" s="235"/>
      <c r="B1079" s="9"/>
      <c r="C1079" s="7"/>
      <c r="D1079" s="17"/>
      <c r="E1079" s="218"/>
      <c r="F1079" s="218"/>
      <c r="G1079" s="218"/>
      <c r="H1079" s="218"/>
      <c r="I1079" s="218"/>
      <c r="J1079" s="218"/>
      <c r="K1079" s="218"/>
      <c r="L1079" s="218"/>
      <c r="M1079" s="273"/>
    </row>
    <row r="1080" spans="1:13" x14ac:dyDescent="0.2">
      <c r="A1080" s="235"/>
      <c r="B1080" s="9"/>
      <c r="C1080" s="7" t="s">
        <v>475</v>
      </c>
      <c r="D1080" s="17"/>
      <c r="E1080" s="218"/>
      <c r="F1080" s="218"/>
      <c r="G1080" s="218"/>
      <c r="H1080" s="218"/>
      <c r="I1080" s="218"/>
      <c r="J1080" s="218"/>
      <c r="K1080" s="218"/>
      <c r="L1080" s="218"/>
      <c r="M1080" s="273"/>
    </row>
    <row r="1081" spans="1:13" x14ac:dyDescent="0.2">
      <c r="A1081" s="235"/>
      <c r="B1081" s="9"/>
      <c r="C1081" s="7" t="s">
        <v>476</v>
      </c>
      <c r="D1081" s="17"/>
      <c r="E1081" s="218"/>
      <c r="F1081" s="218"/>
      <c r="G1081" s="218"/>
      <c r="H1081" s="218"/>
      <c r="I1081" s="218"/>
      <c r="J1081" s="218"/>
      <c r="K1081" s="218"/>
      <c r="L1081" s="218"/>
      <c r="M1081" s="273"/>
    </row>
    <row r="1082" spans="1:13" x14ac:dyDescent="0.2">
      <c r="A1082" s="235"/>
      <c r="B1082" s="9"/>
      <c r="C1082" s="7" t="s">
        <v>477</v>
      </c>
      <c r="D1082" s="17"/>
      <c r="E1082" s="218"/>
      <c r="F1082" s="218"/>
      <c r="G1082" s="218">
        <v>42</v>
      </c>
      <c r="H1082" s="218"/>
      <c r="I1082" s="218">
        <v>2.4</v>
      </c>
      <c r="J1082" s="218">
        <f>G1082*I1082</f>
        <v>100.8</v>
      </c>
      <c r="K1082" s="218"/>
      <c r="L1082" s="218"/>
      <c r="M1082" s="273"/>
    </row>
    <row r="1083" spans="1:13" x14ac:dyDescent="0.2">
      <c r="A1083" s="235"/>
      <c r="B1083" s="9"/>
      <c r="C1083" s="7" t="s">
        <v>479</v>
      </c>
      <c r="D1083" s="17"/>
      <c r="E1083" s="218"/>
      <c r="F1083" s="218"/>
      <c r="G1083" s="218"/>
      <c r="H1083" s="218"/>
      <c r="I1083" s="218"/>
      <c r="J1083" s="218">
        <v>-23.7</v>
      </c>
      <c r="K1083" s="218"/>
      <c r="L1083" s="218"/>
      <c r="M1083" s="273"/>
    </row>
    <row r="1084" spans="1:13" x14ac:dyDescent="0.2">
      <c r="A1084" s="235"/>
      <c r="B1084" s="9"/>
      <c r="C1084" s="7" t="s">
        <v>478</v>
      </c>
      <c r="D1084" s="17"/>
      <c r="E1084" s="218"/>
      <c r="F1084" s="218"/>
      <c r="G1084" s="218"/>
      <c r="H1084" s="218"/>
      <c r="I1084" s="218"/>
      <c r="J1084" s="218">
        <v>-12.6</v>
      </c>
      <c r="K1084" s="218"/>
      <c r="L1084" s="218"/>
      <c r="M1084" s="273"/>
    </row>
    <row r="1085" spans="1:13" x14ac:dyDescent="0.2">
      <c r="A1085" s="235"/>
      <c r="B1085" s="9"/>
      <c r="C1085" s="7" t="s">
        <v>480</v>
      </c>
      <c r="D1085" s="17"/>
      <c r="E1085" s="218"/>
      <c r="F1085" s="218"/>
      <c r="G1085" s="218"/>
      <c r="H1085" s="218"/>
      <c r="I1085" s="218"/>
      <c r="J1085" s="218">
        <v>-0.72</v>
      </c>
      <c r="K1085" s="218"/>
      <c r="L1085" s="218"/>
      <c r="M1085" s="273">
        <f>J1082+J1083+J1084+J1085</f>
        <v>63.78</v>
      </c>
    </row>
    <row r="1086" spans="1:13" x14ac:dyDescent="0.2">
      <c r="A1086" s="235"/>
      <c r="B1086" s="9"/>
      <c r="C1086" s="7"/>
      <c r="D1086" s="17"/>
      <c r="E1086" s="218"/>
      <c r="F1086" s="218"/>
      <c r="G1086" s="218"/>
      <c r="H1086" s="218"/>
      <c r="I1086" s="218"/>
      <c r="J1086" s="218"/>
      <c r="K1086" s="218"/>
      <c r="L1086" s="218"/>
      <c r="M1086" s="273"/>
    </row>
    <row r="1087" spans="1:13" x14ac:dyDescent="0.2">
      <c r="A1087" s="235"/>
      <c r="B1087" s="9"/>
      <c r="C1087" s="7" t="s">
        <v>481</v>
      </c>
      <c r="D1087" s="17"/>
      <c r="E1087" s="218"/>
      <c r="F1087" s="218"/>
      <c r="G1087" s="218"/>
      <c r="H1087" s="218"/>
      <c r="I1087" s="218"/>
      <c r="J1087" s="218"/>
      <c r="K1087" s="218"/>
      <c r="L1087" s="218"/>
      <c r="M1087" s="273"/>
    </row>
    <row r="1088" spans="1:13" x14ac:dyDescent="0.2">
      <c r="A1088" s="235"/>
      <c r="B1088" s="9"/>
      <c r="C1088" s="7" t="s">
        <v>482</v>
      </c>
      <c r="D1088" s="17"/>
      <c r="E1088" s="218"/>
      <c r="F1088" s="218"/>
      <c r="G1088" s="218">
        <v>15.7</v>
      </c>
      <c r="H1088" s="218"/>
      <c r="I1088" s="218">
        <v>2.4</v>
      </c>
      <c r="J1088" s="218">
        <f>G1088*I1088</f>
        <v>37.68</v>
      </c>
      <c r="K1088" s="218"/>
      <c r="L1088" s="218"/>
      <c r="M1088" s="273"/>
    </row>
    <row r="1089" spans="1:13" x14ac:dyDescent="0.2">
      <c r="A1089" s="235"/>
      <c r="B1089" s="9"/>
      <c r="C1089" s="7" t="s">
        <v>483</v>
      </c>
      <c r="D1089" s="17"/>
      <c r="E1089" s="218"/>
      <c r="F1089" s="218"/>
      <c r="G1089" s="218"/>
      <c r="H1089" s="218"/>
      <c r="I1089" s="218"/>
      <c r="J1089" s="218">
        <v>-2.94</v>
      </c>
      <c r="K1089" s="218"/>
      <c r="L1089" s="218"/>
      <c r="M1089" s="273"/>
    </row>
    <row r="1090" spans="1:13" x14ac:dyDescent="0.2">
      <c r="A1090" s="235"/>
      <c r="B1090" s="9"/>
      <c r="C1090" s="7" t="s">
        <v>484</v>
      </c>
      <c r="D1090" s="17"/>
      <c r="E1090" s="218"/>
      <c r="F1090" s="218"/>
      <c r="G1090" s="218"/>
      <c r="H1090" s="218"/>
      <c r="I1090" s="218"/>
      <c r="J1090" s="218">
        <v>-0.36</v>
      </c>
      <c r="K1090" s="218"/>
      <c r="L1090" s="218"/>
      <c r="M1090" s="273"/>
    </row>
    <row r="1091" spans="1:13" x14ac:dyDescent="0.2">
      <c r="A1091" s="235"/>
      <c r="B1091" s="9"/>
      <c r="C1091" s="7" t="s">
        <v>485</v>
      </c>
      <c r="D1091" s="17"/>
      <c r="E1091" s="218"/>
      <c r="F1091" s="218"/>
      <c r="G1091" s="218"/>
      <c r="H1091" s="218"/>
      <c r="I1091" s="218"/>
      <c r="J1091" s="218">
        <v>-5.05</v>
      </c>
      <c r="K1091" s="218"/>
      <c r="L1091" s="218"/>
      <c r="M1091" s="273">
        <f>J1088+J1089+J1090+J1091</f>
        <v>29.330000000000002</v>
      </c>
    </row>
    <row r="1092" spans="1:13" x14ac:dyDescent="0.2">
      <c r="A1092" s="235"/>
      <c r="B1092" s="9"/>
      <c r="C1092" s="7"/>
      <c r="D1092" s="17"/>
      <c r="E1092" s="218"/>
      <c r="F1092" s="218"/>
      <c r="G1092" s="218"/>
      <c r="H1092" s="218"/>
      <c r="I1092" s="218"/>
      <c r="J1092" s="218"/>
      <c r="K1092" s="218"/>
      <c r="L1092" s="218"/>
      <c r="M1092" s="273"/>
    </row>
    <row r="1093" spans="1:13" x14ac:dyDescent="0.2">
      <c r="A1093" s="235"/>
      <c r="B1093" s="9"/>
      <c r="C1093" s="7" t="s">
        <v>486</v>
      </c>
      <c r="D1093" s="17"/>
      <c r="E1093" s="218"/>
      <c r="F1093" s="218"/>
      <c r="G1093" s="218"/>
      <c r="H1093" s="218"/>
      <c r="I1093" s="218"/>
      <c r="J1093" s="218"/>
      <c r="K1093" s="218"/>
      <c r="L1093" s="218"/>
      <c r="M1093" s="273"/>
    </row>
    <row r="1094" spans="1:13" x14ac:dyDescent="0.2">
      <c r="A1094" s="235"/>
      <c r="B1094" s="9"/>
      <c r="C1094" s="7" t="s">
        <v>487</v>
      </c>
      <c r="D1094" s="17"/>
      <c r="E1094" s="218"/>
      <c r="F1094" s="218"/>
      <c r="G1094" s="218">
        <v>34.799999999999997</v>
      </c>
      <c r="H1094" s="218"/>
      <c r="I1094" s="218">
        <v>4.9000000000000004</v>
      </c>
      <c r="J1094" s="218">
        <f>G1094*I1094</f>
        <v>170.52</v>
      </c>
      <c r="K1094" s="218"/>
      <c r="L1094" s="218"/>
      <c r="M1094" s="273"/>
    </row>
    <row r="1095" spans="1:13" x14ac:dyDescent="0.2">
      <c r="A1095" s="235"/>
      <c r="B1095" s="9"/>
      <c r="C1095" s="7" t="s">
        <v>489</v>
      </c>
      <c r="D1095" s="17"/>
      <c r="E1095" s="218"/>
      <c r="F1095" s="218"/>
      <c r="G1095" s="218"/>
      <c r="H1095" s="218"/>
      <c r="I1095" s="218"/>
      <c r="J1095" s="218">
        <v>-8.82</v>
      </c>
      <c r="K1095" s="218"/>
      <c r="L1095" s="218"/>
      <c r="M1095" s="273"/>
    </row>
    <row r="1096" spans="1:13" x14ac:dyDescent="0.2">
      <c r="A1096" s="235"/>
      <c r="B1096" s="9"/>
      <c r="C1096" s="7" t="s">
        <v>488</v>
      </c>
      <c r="D1096" s="17"/>
      <c r="E1096" s="218"/>
      <c r="F1096" s="218"/>
      <c r="G1096" s="218">
        <v>-6</v>
      </c>
      <c r="H1096" s="218"/>
      <c r="I1096" s="218">
        <v>2.4</v>
      </c>
      <c r="J1096" s="218">
        <f>G1096*I1096</f>
        <v>-14.399999999999999</v>
      </c>
      <c r="K1096" s="218"/>
      <c r="L1096" s="218"/>
      <c r="M1096" s="273"/>
    </row>
    <row r="1097" spans="1:13" x14ac:dyDescent="0.2">
      <c r="A1097" s="235"/>
      <c r="B1097" s="9"/>
      <c r="C1097" s="7" t="s">
        <v>490</v>
      </c>
      <c r="D1097" s="17"/>
      <c r="E1097" s="218"/>
      <c r="F1097" s="218"/>
      <c r="G1097" s="218"/>
      <c r="H1097" s="218"/>
      <c r="I1097" s="218"/>
      <c r="J1097" s="218">
        <v>39.200000000000003</v>
      </c>
      <c r="K1097" s="218"/>
      <c r="L1097" s="218"/>
      <c r="M1097" s="273">
        <f>J1094+J1095+J1096+J1097</f>
        <v>186.5</v>
      </c>
    </row>
    <row r="1098" spans="1:13" x14ac:dyDescent="0.2">
      <c r="A1098" s="235"/>
      <c r="B1098" s="9"/>
      <c r="C1098" s="138"/>
      <c r="D1098" s="17"/>
      <c r="E1098" s="218"/>
      <c r="F1098" s="218"/>
      <c r="G1098" s="218"/>
      <c r="H1098" s="218"/>
      <c r="I1098" s="218"/>
      <c r="J1098" s="218"/>
      <c r="K1098" s="218"/>
      <c r="L1098" s="218"/>
      <c r="M1098" s="273"/>
    </row>
    <row r="1099" spans="1:13" x14ac:dyDescent="0.2">
      <c r="A1099" s="235"/>
      <c r="B1099" s="9"/>
      <c r="C1099" s="7" t="s">
        <v>491</v>
      </c>
      <c r="D1099" s="17"/>
      <c r="E1099" s="218"/>
      <c r="F1099" s="218"/>
      <c r="G1099" s="218"/>
      <c r="H1099" s="218"/>
      <c r="I1099" s="218"/>
      <c r="J1099" s="218"/>
      <c r="K1099" s="218"/>
      <c r="L1099" s="218"/>
      <c r="M1099" s="273"/>
    </row>
    <row r="1100" spans="1:13" x14ac:dyDescent="0.2">
      <c r="A1100" s="235"/>
      <c r="B1100" s="9"/>
      <c r="C1100" s="7" t="s">
        <v>492</v>
      </c>
      <c r="D1100" s="17"/>
      <c r="E1100" s="218"/>
      <c r="F1100" s="218"/>
      <c r="G1100" s="218">
        <v>14.4</v>
      </c>
      <c r="H1100" s="218"/>
      <c r="I1100" s="218">
        <v>5.2</v>
      </c>
      <c r="J1100" s="218">
        <f>G1100*I1100</f>
        <v>74.88000000000001</v>
      </c>
      <c r="K1100" s="218"/>
      <c r="L1100" s="218"/>
      <c r="M1100" s="273">
        <f>J1100</f>
        <v>74.88000000000001</v>
      </c>
    </row>
    <row r="1101" spans="1:13" ht="15" thickBot="1" x14ac:dyDescent="0.25">
      <c r="A1101" s="235"/>
      <c r="B1101" s="9"/>
      <c r="C1101" s="7"/>
      <c r="D1101" s="17"/>
      <c r="E1101" s="218"/>
      <c r="F1101" s="218"/>
      <c r="G1101" s="218"/>
      <c r="H1101" s="218"/>
      <c r="I1101" s="218"/>
      <c r="J1101" s="218"/>
      <c r="K1101" s="218"/>
      <c r="L1101" s="218"/>
      <c r="M1101" s="273"/>
    </row>
    <row r="1102" spans="1:13" ht="15" thickBot="1" x14ac:dyDescent="0.25">
      <c r="A1102" s="235"/>
      <c r="B1102" s="9"/>
      <c r="C1102" s="33"/>
      <c r="D1102" s="408" t="s">
        <v>495</v>
      </c>
      <c r="E1102" s="409"/>
      <c r="F1102" s="218"/>
      <c r="G1102" s="218"/>
      <c r="H1102" s="218"/>
      <c r="I1102" s="216"/>
      <c r="J1102" s="38">
        <v>199.26</v>
      </c>
      <c r="K1102" s="37"/>
      <c r="L1102" s="218"/>
      <c r="M1102" s="273"/>
    </row>
    <row r="1103" spans="1:13" x14ac:dyDescent="0.2">
      <c r="A1103" s="235"/>
      <c r="B1103" s="9"/>
      <c r="C1103" s="7" t="s">
        <v>522</v>
      </c>
      <c r="D1103" s="17"/>
      <c r="E1103" s="218"/>
      <c r="F1103" s="218"/>
      <c r="G1103" s="218"/>
      <c r="H1103" s="218"/>
      <c r="I1103" s="218"/>
      <c r="J1103" s="218"/>
      <c r="K1103" s="218"/>
      <c r="L1103" s="218"/>
      <c r="M1103" s="273"/>
    </row>
    <row r="1104" spans="1:13" x14ac:dyDescent="0.2">
      <c r="A1104" s="235"/>
      <c r="B1104" s="9"/>
      <c r="C1104" s="7" t="s">
        <v>523</v>
      </c>
      <c r="D1104" s="17"/>
      <c r="E1104" s="218"/>
      <c r="F1104" s="218"/>
      <c r="G1104" s="218"/>
      <c r="H1104" s="218"/>
      <c r="I1104" s="218"/>
      <c r="J1104" s="218"/>
      <c r="K1104" s="218"/>
      <c r="L1104" s="218"/>
      <c r="M1104" s="273"/>
    </row>
    <row r="1105" spans="1:13" x14ac:dyDescent="0.2">
      <c r="A1105" s="235"/>
      <c r="B1105" s="9"/>
      <c r="C1105" s="7" t="s">
        <v>524</v>
      </c>
      <c r="D1105" s="17"/>
      <c r="E1105" s="218"/>
      <c r="F1105" s="218"/>
      <c r="G1105" s="218"/>
      <c r="H1105" s="218"/>
      <c r="I1105" s="218"/>
      <c r="J1105" s="218"/>
      <c r="K1105" s="218"/>
      <c r="L1105" s="218"/>
      <c r="M1105" s="273"/>
    </row>
    <row r="1106" spans="1:13" x14ac:dyDescent="0.2">
      <c r="A1106" s="235"/>
      <c r="B1106" s="9"/>
      <c r="C1106" s="7" t="s">
        <v>525</v>
      </c>
      <c r="D1106" s="17"/>
      <c r="E1106" s="218"/>
      <c r="F1106" s="218"/>
      <c r="G1106" s="218"/>
      <c r="H1106" s="218"/>
      <c r="I1106" s="218"/>
      <c r="J1106" s="218"/>
      <c r="K1106" s="218"/>
      <c r="L1106" s="218"/>
      <c r="M1106" s="273"/>
    </row>
    <row r="1107" spans="1:13" x14ac:dyDescent="0.2">
      <c r="A1107" s="235"/>
      <c r="B1107" s="9"/>
      <c r="C1107" s="7" t="s">
        <v>526</v>
      </c>
      <c r="D1107" s="17"/>
      <c r="E1107" s="218"/>
      <c r="F1107" s="218"/>
      <c r="G1107" s="218"/>
      <c r="H1107" s="218"/>
      <c r="I1107" s="218"/>
      <c r="J1107" s="218"/>
      <c r="K1107" s="218"/>
      <c r="L1107" s="218"/>
      <c r="M1107" s="217"/>
    </row>
    <row r="1108" spans="1:13" x14ac:dyDescent="0.2">
      <c r="A1108" s="235"/>
      <c r="B1108" s="9"/>
      <c r="C1108" s="7" t="s">
        <v>527</v>
      </c>
      <c r="D1108" s="17"/>
      <c r="E1108" s="218"/>
      <c r="F1108" s="218"/>
      <c r="G1108" s="218"/>
      <c r="H1108" s="218"/>
      <c r="I1108" s="218"/>
      <c r="J1108" s="218"/>
      <c r="K1108" s="218"/>
      <c r="L1108" s="218"/>
      <c r="M1108" s="217"/>
    </row>
    <row r="1109" spans="1:13" x14ac:dyDescent="0.2">
      <c r="A1109" s="235"/>
      <c r="B1109" s="9"/>
      <c r="C1109" s="7" t="s">
        <v>528</v>
      </c>
      <c r="D1109" s="17"/>
      <c r="E1109" s="218"/>
      <c r="F1109" s="218"/>
      <c r="G1109" s="218"/>
      <c r="H1109" s="218"/>
      <c r="I1109" s="218"/>
      <c r="J1109" s="218"/>
      <c r="K1109" s="218"/>
      <c r="L1109" s="218"/>
      <c r="M1109" s="217"/>
    </row>
    <row r="1110" spans="1:13" x14ac:dyDescent="0.2">
      <c r="A1110" s="235"/>
      <c r="B1110" s="9"/>
      <c r="C1110" s="7" t="s">
        <v>529</v>
      </c>
      <c r="D1110" s="17"/>
      <c r="E1110" s="218"/>
      <c r="F1110" s="218"/>
      <c r="G1110" s="218"/>
      <c r="H1110" s="218"/>
      <c r="I1110" s="218"/>
      <c r="J1110" s="218"/>
      <c r="K1110" s="218"/>
      <c r="L1110" s="218"/>
      <c r="M1110" s="217"/>
    </row>
    <row r="1111" spans="1:13" x14ac:dyDescent="0.2">
      <c r="A1111" s="235"/>
      <c r="B1111" s="9"/>
      <c r="C1111" s="7" t="s">
        <v>530</v>
      </c>
      <c r="D1111" s="17"/>
      <c r="E1111" s="218"/>
      <c r="F1111" s="218"/>
      <c r="G1111" s="218"/>
      <c r="H1111" s="218"/>
      <c r="I1111" s="218"/>
      <c r="J1111" s="218"/>
      <c r="K1111" s="218"/>
      <c r="L1111" s="218"/>
      <c r="M1111" s="217"/>
    </row>
    <row r="1112" spans="1:13" ht="15" x14ac:dyDescent="0.25">
      <c r="A1112" s="315"/>
      <c r="B1112" s="327"/>
      <c r="C1112" s="328" t="s">
        <v>531</v>
      </c>
      <c r="D1112" s="329"/>
      <c r="E1112" s="354"/>
      <c r="F1112" s="354"/>
      <c r="G1112" s="354"/>
      <c r="H1112" s="354"/>
      <c r="I1112" s="354"/>
      <c r="J1112" s="354"/>
      <c r="K1112" s="354"/>
      <c r="L1112" s="354"/>
      <c r="M1112" s="355"/>
    </row>
    <row r="1113" spans="1:13" x14ac:dyDescent="0.2">
      <c r="A1113" s="235"/>
      <c r="B1113" s="9"/>
      <c r="C1113" s="33"/>
      <c r="D1113" s="17"/>
      <c r="E1113" s="218"/>
      <c r="F1113" s="218"/>
      <c r="G1113" s="218"/>
      <c r="H1113" s="218"/>
      <c r="I1113" s="218"/>
      <c r="J1113" s="218"/>
      <c r="K1113" s="218"/>
      <c r="L1113" s="35"/>
      <c r="M1113" s="273"/>
    </row>
    <row r="1114" spans="1:13" x14ac:dyDescent="0.2">
      <c r="A1114" s="235"/>
      <c r="B1114" s="9"/>
      <c r="C1114" s="33" t="s">
        <v>497</v>
      </c>
      <c r="D1114" s="408" t="s">
        <v>494</v>
      </c>
      <c r="E1114" s="409"/>
      <c r="F1114" s="218"/>
      <c r="G1114" s="218"/>
      <c r="H1114" s="218"/>
      <c r="I1114" s="218"/>
      <c r="J1114" s="218"/>
      <c r="K1114" s="218"/>
      <c r="L1114" s="35"/>
      <c r="M1114" s="273"/>
    </row>
    <row r="1115" spans="1:13" ht="15" thickBot="1" x14ac:dyDescent="0.25">
      <c r="A1115" s="235"/>
      <c r="B1115" s="9"/>
      <c r="C1115" s="33"/>
      <c r="D1115" s="17"/>
      <c r="E1115" s="218"/>
      <c r="F1115" s="218"/>
      <c r="G1115" s="218"/>
      <c r="H1115" s="218"/>
      <c r="I1115" s="218"/>
      <c r="J1115" s="218"/>
      <c r="K1115" s="218"/>
      <c r="L1115" s="35"/>
      <c r="M1115" s="273"/>
    </row>
    <row r="1116" spans="1:13" ht="15" thickBot="1" x14ac:dyDescent="0.25">
      <c r="A1116" s="235"/>
      <c r="B1116" s="9"/>
      <c r="C1116" s="39" t="s">
        <v>516</v>
      </c>
      <c r="D1116" s="17"/>
      <c r="E1116" s="218"/>
      <c r="F1116" s="218"/>
      <c r="G1116" s="218"/>
      <c r="H1116" s="218"/>
      <c r="I1116" s="218"/>
      <c r="J1116" s="218"/>
      <c r="K1116" s="218"/>
      <c r="L1116" s="298"/>
      <c r="M1116" s="36">
        <f>SUM(M1117:M1144)</f>
        <v>176.51</v>
      </c>
    </row>
    <row r="1117" spans="1:13" x14ac:dyDescent="0.2">
      <c r="A1117" s="235"/>
      <c r="B1117" s="9"/>
      <c r="C1117" s="7" t="s">
        <v>498</v>
      </c>
      <c r="D1117" s="17"/>
      <c r="E1117" s="218"/>
      <c r="F1117" s="218"/>
      <c r="G1117" s="218">
        <v>31.2</v>
      </c>
      <c r="H1117" s="218"/>
      <c r="I1117" s="218">
        <v>2.2999999999999998</v>
      </c>
      <c r="J1117" s="218">
        <f>G1117*I1117</f>
        <v>71.759999999999991</v>
      </c>
      <c r="K1117" s="218"/>
      <c r="L1117" s="35"/>
      <c r="M1117" s="273"/>
    </row>
    <row r="1118" spans="1:13" x14ac:dyDescent="0.2">
      <c r="A1118" s="235"/>
      <c r="B1118" s="9"/>
      <c r="C1118" s="7" t="s">
        <v>499</v>
      </c>
      <c r="D1118" s="17"/>
      <c r="E1118" s="218"/>
      <c r="F1118" s="218"/>
      <c r="G1118" s="218">
        <v>-13.2</v>
      </c>
      <c r="H1118" s="218"/>
      <c r="I1118" s="218">
        <v>2.2999999999999998</v>
      </c>
      <c r="J1118" s="218">
        <f>G1118*I1118</f>
        <v>-30.359999999999996</v>
      </c>
      <c r="K1118" s="218"/>
      <c r="L1118" s="35"/>
      <c r="M1118" s="273"/>
    </row>
    <row r="1119" spans="1:13" x14ac:dyDescent="0.2">
      <c r="A1119" s="235"/>
      <c r="B1119" s="9"/>
      <c r="C1119" s="7" t="s">
        <v>501</v>
      </c>
      <c r="D1119" s="17"/>
      <c r="E1119" s="218"/>
      <c r="F1119" s="218"/>
      <c r="G1119" s="218">
        <v>27.1</v>
      </c>
      <c r="H1119" s="218"/>
      <c r="I1119" s="218">
        <v>2.2999999999999998</v>
      </c>
      <c r="J1119" s="218">
        <f>G1119*I1119</f>
        <v>62.33</v>
      </c>
      <c r="K1119" s="218"/>
      <c r="L1119" s="35"/>
      <c r="M1119" s="273"/>
    </row>
    <row r="1120" spans="1:13" x14ac:dyDescent="0.2">
      <c r="A1120" s="235"/>
      <c r="B1120" s="9"/>
      <c r="C1120" s="7" t="s">
        <v>500</v>
      </c>
      <c r="D1120" s="17"/>
      <c r="E1120" s="218"/>
      <c r="F1120" s="218"/>
      <c r="G1120" s="218"/>
      <c r="H1120" s="218"/>
      <c r="I1120" s="218"/>
      <c r="J1120" s="218">
        <v>-15.84</v>
      </c>
      <c r="K1120" s="218"/>
      <c r="L1120" s="35"/>
      <c r="M1120" s="273">
        <f>SUM(J1117:J1120)</f>
        <v>87.889999999999986</v>
      </c>
    </row>
    <row r="1121" spans="1:13" x14ac:dyDescent="0.2">
      <c r="A1121" s="235"/>
      <c r="B1121" s="9"/>
      <c r="C1121" s="7"/>
      <c r="D1121" s="17"/>
      <c r="E1121" s="218"/>
      <c r="F1121" s="218"/>
      <c r="G1121" s="218"/>
      <c r="H1121" s="218"/>
      <c r="I1121" s="218"/>
      <c r="J1121" s="139"/>
      <c r="K1121" s="218"/>
      <c r="L1121" s="35"/>
      <c r="M1121" s="295"/>
    </row>
    <row r="1122" spans="1:13" x14ac:dyDescent="0.2">
      <c r="A1122" s="235"/>
      <c r="B1122" s="9"/>
      <c r="C1122" s="7" t="s">
        <v>502</v>
      </c>
      <c r="D1122" s="17"/>
      <c r="E1122" s="218"/>
      <c r="F1122" s="218"/>
      <c r="G1122" s="218"/>
      <c r="H1122" s="218"/>
      <c r="I1122" s="218"/>
      <c r="J1122" s="218"/>
      <c r="K1122" s="218"/>
      <c r="L1122" s="35"/>
      <c r="M1122" s="273"/>
    </row>
    <row r="1123" spans="1:13" x14ac:dyDescent="0.2">
      <c r="A1123" s="235"/>
      <c r="B1123" s="9"/>
      <c r="C1123" s="7" t="s">
        <v>503</v>
      </c>
      <c r="D1123" s="17"/>
      <c r="E1123" s="218"/>
      <c r="F1123" s="218"/>
      <c r="G1123" s="218">
        <v>15</v>
      </c>
      <c r="H1123" s="218"/>
      <c r="I1123" s="218">
        <v>2.2999999999999998</v>
      </c>
      <c r="J1123" s="218">
        <f>G1123*I1123</f>
        <v>34.5</v>
      </c>
      <c r="K1123" s="218"/>
      <c r="L1123" s="35"/>
      <c r="M1123" s="273"/>
    </row>
    <row r="1124" spans="1:13" x14ac:dyDescent="0.2">
      <c r="A1124" s="235"/>
      <c r="B1124" s="9"/>
      <c r="C1124" s="7" t="s">
        <v>511</v>
      </c>
      <c r="D1124" s="17"/>
      <c r="E1124" s="218"/>
      <c r="F1124" s="218"/>
      <c r="G1124" s="218">
        <v>5</v>
      </c>
      <c r="H1124" s="218"/>
      <c r="I1124" s="218">
        <v>-2.2999999999999998</v>
      </c>
      <c r="J1124" s="218">
        <f>G1124*I1124</f>
        <v>-11.5</v>
      </c>
      <c r="K1124" s="218"/>
      <c r="L1124" s="35"/>
      <c r="M1124" s="273">
        <f>J1123+J1124</f>
        <v>23</v>
      </c>
    </row>
    <row r="1125" spans="1:13" x14ac:dyDescent="0.2">
      <c r="A1125" s="235"/>
      <c r="B1125" s="9"/>
      <c r="C1125" s="7" t="s">
        <v>504</v>
      </c>
      <c r="D1125" s="17"/>
      <c r="E1125" s="218"/>
      <c r="F1125" s="218"/>
      <c r="G1125" s="218"/>
      <c r="H1125" s="218"/>
      <c r="I1125" s="218"/>
      <c r="J1125" s="218"/>
      <c r="K1125" s="218"/>
      <c r="L1125" s="35"/>
      <c r="M1125" s="273"/>
    </row>
    <row r="1126" spans="1:13" x14ac:dyDescent="0.2">
      <c r="A1126" s="235"/>
      <c r="B1126" s="9"/>
      <c r="C1126" s="7" t="s">
        <v>505</v>
      </c>
      <c r="D1126" s="17"/>
      <c r="E1126" s="218"/>
      <c r="F1126" s="218"/>
      <c r="G1126" s="218">
        <v>8.8000000000000007</v>
      </c>
      <c r="H1126" s="218"/>
      <c r="I1126" s="218">
        <v>2.2999999999999998</v>
      </c>
      <c r="J1126" s="218">
        <f>G1126*I1126</f>
        <v>20.239999999999998</v>
      </c>
      <c r="K1126" s="218"/>
      <c r="L1126" s="35"/>
      <c r="M1126" s="273">
        <f>J1126</f>
        <v>20.239999999999998</v>
      </c>
    </row>
    <row r="1127" spans="1:13" x14ac:dyDescent="0.2">
      <c r="A1127" s="235"/>
      <c r="B1127" s="9"/>
      <c r="C1127" s="7"/>
      <c r="D1127" s="17"/>
      <c r="E1127" s="218"/>
      <c r="F1127" s="218"/>
      <c r="G1127" s="218"/>
      <c r="H1127" s="218"/>
      <c r="I1127" s="218"/>
      <c r="J1127" s="218"/>
      <c r="K1127" s="218"/>
      <c r="L1127" s="35"/>
      <c r="M1127" s="273"/>
    </row>
    <row r="1128" spans="1:13" x14ac:dyDescent="0.2">
      <c r="A1128" s="235"/>
      <c r="B1128" s="9"/>
      <c r="C1128" s="7" t="s">
        <v>506</v>
      </c>
      <c r="D1128" s="17"/>
      <c r="E1128" s="218"/>
      <c r="F1128" s="218"/>
      <c r="G1128" s="218"/>
      <c r="H1128" s="218"/>
      <c r="I1128" s="218"/>
      <c r="J1128" s="218"/>
      <c r="K1128" s="218"/>
      <c r="L1128" s="35"/>
      <c r="M1128" s="273"/>
    </row>
    <row r="1129" spans="1:13" x14ac:dyDescent="0.2">
      <c r="A1129" s="235"/>
      <c r="B1129" s="9"/>
      <c r="C1129" s="7" t="s">
        <v>507</v>
      </c>
      <c r="D1129" s="17"/>
      <c r="E1129" s="218"/>
      <c r="F1129" s="218"/>
      <c r="G1129" s="218">
        <v>7.8</v>
      </c>
      <c r="H1129" s="218"/>
      <c r="I1129" s="218">
        <v>1.1499999999999999</v>
      </c>
      <c r="J1129" s="218">
        <f>G1129*I1129</f>
        <v>8.9699999999999989</v>
      </c>
      <c r="K1129" s="218"/>
      <c r="L1129" s="35"/>
      <c r="M1129" s="273"/>
    </row>
    <row r="1130" spans="1:13" x14ac:dyDescent="0.2">
      <c r="A1130" s="235"/>
      <c r="B1130" s="9"/>
      <c r="C1130" s="7" t="s">
        <v>508</v>
      </c>
      <c r="D1130" s="17"/>
      <c r="E1130" s="218"/>
      <c r="F1130" s="218">
        <v>-1.6</v>
      </c>
      <c r="G1130" s="218"/>
      <c r="H1130" s="218"/>
      <c r="I1130" s="218">
        <v>0.9</v>
      </c>
      <c r="J1130" s="218">
        <f>F1130*I1130</f>
        <v>-1.4400000000000002</v>
      </c>
      <c r="K1130" s="218"/>
      <c r="L1130" s="35"/>
      <c r="M1130" s="273">
        <f>SUM(J1129:J1130)</f>
        <v>7.5299999999999985</v>
      </c>
    </row>
    <row r="1131" spans="1:13" x14ac:dyDescent="0.2">
      <c r="A1131" s="235"/>
      <c r="B1131" s="9"/>
      <c r="C1131" s="7"/>
      <c r="D1131" s="17"/>
      <c r="E1131" s="218"/>
      <c r="F1131" s="218"/>
      <c r="G1131" s="218"/>
      <c r="H1131" s="218"/>
      <c r="I1131" s="218"/>
      <c r="J1131" s="218"/>
      <c r="K1131" s="218"/>
      <c r="L1131" s="35"/>
      <c r="M1131" s="273"/>
    </row>
    <row r="1132" spans="1:13" x14ac:dyDescent="0.2">
      <c r="A1132" s="235"/>
      <c r="B1132" s="9"/>
      <c r="C1132" s="7" t="s">
        <v>517</v>
      </c>
      <c r="D1132" s="17"/>
      <c r="E1132" s="218"/>
      <c r="F1132" s="218"/>
      <c r="G1132" s="218"/>
      <c r="H1132" s="218"/>
      <c r="I1132" s="218"/>
      <c r="J1132" s="218"/>
      <c r="K1132" s="218"/>
      <c r="L1132" s="35"/>
      <c r="M1132" s="273"/>
    </row>
    <row r="1133" spans="1:13" x14ac:dyDescent="0.2">
      <c r="A1133" s="235"/>
      <c r="B1133" s="9"/>
      <c r="C1133" s="7" t="s">
        <v>509</v>
      </c>
      <c r="D1133" s="17"/>
      <c r="E1133" s="218"/>
      <c r="F1133" s="218"/>
      <c r="G1133" s="218">
        <v>15.6</v>
      </c>
      <c r="H1133" s="218"/>
      <c r="I1133" s="218">
        <v>2.2999999999999998</v>
      </c>
      <c r="J1133" s="218">
        <f>G1133*I1133</f>
        <v>35.879999999999995</v>
      </c>
      <c r="K1133" s="218"/>
      <c r="L1133" s="35"/>
      <c r="M1133" s="273"/>
    </row>
    <row r="1134" spans="1:13" x14ac:dyDescent="0.2">
      <c r="A1134" s="235"/>
      <c r="B1134" s="9"/>
      <c r="C1134" s="33" t="s">
        <v>510</v>
      </c>
      <c r="D1134" s="17"/>
      <c r="E1134" s="218"/>
      <c r="F1134" s="218"/>
      <c r="G1134" s="218">
        <v>5.3</v>
      </c>
      <c r="H1134" s="218"/>
      <c r="I1134" s="218">
        <v>-2.2999999999999998</v>
      </c>
      <c r="J1134" s="218">
        <f>G1134*I1134</f>
        <v>-12.19</v>
      </c>
      <c r="K1134" s="218"/>
      <c r="L1134" s="35"/>
      <c r="M1134" s="273">
        <f>J1133+J1134</f>
        <v>23.689999999999998</v>
      </c>
    </row>
    <row r="1135" spans="1:13" x14ac:dyDescent="0.2">
      <c r="A1135" s="235"/>
      <c r="B1135" s="9"/>
      <c r="C1135" s="33"/>
      <c r="D1135" s="17"/>
      <c r="E1135" s="218"/>
      <c r="F1135" s="218"/>
      <c r="G1135" s="218"/>
      <c r="H1135" s="218"/>
      <c r="I1135" s="218"/>
      <c r="J1135" s="218"/>
      <c r="K1135" s="218"/>
      <c r="L1135" s="35"/>
      <c r="M1135" s="273"/>
    </row>
    <row r="1136" spans="1:13" x14ac:dyDescent="0.2">
      <c r="A1136" s="235"/>
      <c r="B1136" s="9"/>
      <c r="C1136" s="7" t="s">
        <v>512</v>
      </c>
      <c r="D1136" s="17"/>
      <c r="E1136" s="218"/>
      <c r="F1136" s="218"/>
      <c r="G1136" s="218"/>
      <c r="H1136" s="218"/>
      <c r="I1136" s="218"/>
      <c r="J1136" s="218"/>
      <c r="K1136" s="218"/>
      <c r="L1136" s="35"/>
      <c r="M1136" s="273"/>
    </row>
    <row r="1137" spans="1:13" x14ac:dyDescent="0.2">
      <c r="A1137" s="235"/>
      <c r="B1137" s="9"/>
      <c r="C1137" s="7" t="s">
        <v>513</v>
      </c>
      <c r="D1137" s="17"/>
      <c r="E1137" s="218"/>
      <c r="F1137" s="218"/>
      <c r="G1137" s="218">
        <v>12.3</v>
      </c>
      <c r="H1137" s="218"/>
      <c r="I1137" s="218">
        <v>2.2999999999999998</v>
      </c>
      <c r="J1137" s="218">
        <f>G1137*I1137</f>
        <v>28.29</v>
      </c>
      <c r="K1137" s="218"/>
      <c r="L1137" s="35"/>
      <c r="M1137" s="273"/>
    </row>
    <row r="1138" spans="1:13" x14ac:dyDescent="0.2">
      <c r="A1138" s="235"/>
      <c r="B1138" s="9"/>
      <c r="C1138" s="7" t="s">
        <v>514</v>
      </c>
      <c r="D1138" s="17"/>
      <c r="E1138" s="218"/>
      <c r="F1138" s="218"/>
      <c r="G1138" s="218">
        <v>5</v>
      </c>
      <c r="H1138" s="218"/>
      <c r="I1138" s="218">
        <v>-2.2999999999999998</v>
      </c>
      <c r="J1138" s="218">
        <f>G1138*I1138</f>
        <v>-11.5</v>
      </c>
      <c r="K1138" s="218"/>
      <c r="L1138" s="35"/>
      <c r="M1138" s="273"/>
    </row>
    <row r="1139" spans="1:13" x14ac:dyDescent="0.2">
      <c r="A1139" s="235"/>
      <c r="B1139" s="9"/>
      <c r="C1139" s="7" t="s">
        <v>515</v>
      </c>
      <c r="D1139" s="17"/>
      <c r="E1139" s="218"/>
      <c r="F1139" s="218"/>
      <c r="G1139" s="218">
        <v>4.4000000000000004</v>
      </c>
      <c r="H1139" s="218"/>
      <c r="I1139" s="218">
        <v>-1.2</v>
      </c>
      <c r="J1139" s="218">
        <f>G1139*I1139</f>
        <v>-5.28</v>
      </c>
      <c r="K1139" s="218"/>
      <c r="L1139" s="35"/>
      <c r="M1139" s="273">
        <f>SUM(J1137:J1139)</f>
        <v>11.509999999999998</v>
      </c>
    </row>
    <row r="1140" spans="1:13" x14ac:dyDescent="0.2">
      <c r="A1140" s="235"/>
      <c r="B1140" s="9"/>
      <c r="C1140" s="7"/>
      <c r="D1140" s="17"/>
      <c r="E1140" s="218"/>
      <c r="F1140" s="218"/>
      <c r="G1140" s="218"/>
      <c r="H1140" s="218"/>
      <c r="I1140" s="218"/>
      <c r="J1140" s="218"/>
      <c r="K1140" s="218"/>
      <c r="L1140" s="35"/>
      <c r="M1140" s="273"/>
    </row>
    <row r="1141" spans="1:13" x14ac:dyDescent="0.2">
      <c r="A1141" s="235"/>
      <c r="B1141" s="9"/>
      <c r="C1141" s="7" t="s">
        <v>518</v>
      </c>
      <c r="D1141" s="17"/>
      <c r="E1141" s="218"/>
      <c r="F1141" s="218"/>
      <c r="G1141" s="218"/>
      <c r="H1141" s="218"/>
      <c r="I1141" s="218"/>
      <c r="J1141" s="218"/>
      <c r="K1141" s="218"/>
      <c r="L1141" s="35"/>
      <c r="M1141" s="273"/>
    </row>
    <row r="1142" spans="1:13" x14ac:dyDescent="0.2">
      <c r="A1142" s="235"/>
      <c r="B1142" s="9"/>
      <c r="C1142" s="7" t="s">
        <v>519</v>
      </c>
      <c r="D1142" s="17"/>
      <c r="E1142" s="218"/>
      <c r="F1142" s="218"/>
      <c r="G1142" s="218">
        <v>9</v>
      </c>
      <c r="H1142" s="218"/>
      <c r="I1142" s="218">
        <v>2.2999999999999998</v>
      </c>
      <c r="J1142" s="218">
        <f>G1142*I1142</f>
        <v>20.7</v>
      </c>
      <c r="K1142" s="218"/>
      <c r="L1142" s="35"/>
      <c r="M1142" s="273"/>
    </row>
    <row r="1143" spans="1:13" x14ac:dyDescent="0.2">
      <c r="A1143" s="235"/>
      <c r="B1143" s="9"/>
      <c r="C1143" s="7" t="s">
        <v>520</v>
      </c>
      <c r="D1143" s="17"/>
      <c r="E1143" s="218"/>
      <c r="F1143" s="218"/>
      <c r="G1143" s="218">
        <v>5.5</v>
      </c>
      <c r="H1143" s="218"/>
      <c r="I1143" s="218">
        <v>-2.2999999999999998</v>
      </c>
      <c r="J1143" s="218">
        <f>G1143*I1143</f>
        <v>-12.649999999999999</v>
      </c>
      <c r="K1143" s="218"/>
      <c r="L1143" s="35"/>
      <c r="M1143" s="273"/>
    </row>
    <row r="1144" spans="1:13" x14ac:dyDescent="0.2">
      <c r="A1144" s="235"/>
      <c r="B1144" s="9"/>
      <c r="C1144" s="7" t="s">
        <v>521</v>
      </c>
      <c r="D1144" s="17"/>
      <c r="E1144" s="218"/>
      <c r="F1144" s="218"/>
      <c r="G1144" s="218">
        <v>4.5</v>
      </c>
      <c r="H1144" s="218"/>
      <c r="I1144" s="218">
        <v>-1.2</v>
      </c>
      <c r="J1144" s="218">
        <f>G1144*I1144</f>
        <v>-5.3999999999999995</v>
      </c>
      <c r="K1144" s="218"/>
      <c r="L1144" s="35"/>
      <c r="M1144" s="273">
        <f>SUM(J1142:J1144)</f>
        <v>2.6500000000000012</v>
      </c>
    </row>
    <row r="1145" spans="1:13" x14ac:dyDescent="0.2">
      <c r="A1145" s="235"/>
      <c r="B1145" s="9"/>
      <c r="C1145" s="7"/>
      <c r="D1145" s="17"/>
      <c r="E1145" s="218"/>
      <c r="F1145" s="218"/>
      <c r="G1145" s="218"/>
      <c r="H1145" s="218"/>
      <c r="I1145" s="218"/>
      <c r="J1145" s="218"/>
      <c r="K1145" s="218"/>
      <c r="L1145" s="35"/>
      <c r="M1145" s="273"/>
    </row>
    <row r="1146" spans="1:13" x14ac:dyDescent="0.2">
      <c r="A1146" s="235"/>
      <c r="B1146" s="9"/>
      <c r="C1146" s="7" t="s">
        <v>532</v>
      </c>
      <c r="D1146" s="17"/>
      <c r="E1146" s="218"/>
      <c r="F1146" s="218"/>
      <c r="G1146" s="218"/>
      <c r="H1146" s="416" t="s">
        <v>535</v>
      </c>
      <c r="I1146" s="416"/>
      <c r="J1146" s="215" t="s">
        <v>533</v>
      </c>
      <c r="K1146" s="412">
        <v>199.26</v>
      </c>
      <c r="L1146" s="413"/>
      <c r="M1146" s="273"/>
    </row>
    <row r="1147" spans="1:13" ht="15" thickBot="1" x14ac:dyDescent="0.25">
      <c r="A1147" s="235"/>
      <c r="B1147" s="9"/>
      <c r="C1147" s="7"/>
      <c r="D1147" s="17"/>
      <c r="E1147" s="218"/>
      <c r="F1147" s="218"/>
      <c r="G1147" s="218"/>
      <c r="H1147" s="416"/>
      <c r="I1147" s="416"/>
      <c r="J1147" s="215" t="s">
        <v>534</v>
      </c>
      <c r="K1147" s="421">
        <f>M1070+M1116</f>
        <v>507.22799999999995</v>
      </c>
      <c r="L1147" s="422"/>
      <c r="M1147" s="273"/>
    </row>
    <row r="1148" spans="1:13" ht="15" thickBot="1" x14ac:dyDescent="0.25">
      <c r="A1148" s="235"/>
      <c r="B1148" s="9"/>
      <c r="C1148" s="7"/>
      <c r="D1148" s="17"/>
      <c r="E1148" s="218"/>
      <c r="F1148" s="218"/>
      <c r="G1148" s="218"/>
      <c r="H1148" s="218"/>
      <c r="I1148" s="218"/>
      <c r="J1148" s="218"/>
      <c r="K1148" s="410">
        <f>M1116+M1070+J1102</f>
        <v>706.48799999999994</v>
      </c>
      <c r="L1148" s="411"/>
      <c r="M1148" s="273"/>
    </row>
    <row r="1149" spans="1:13" ht="15" thickBot="1" x14ac:dyDescent="0.25">
      <c r="A1149" s="235"/>
      <c r="B1149" s="9"/>
      <c r="C1149" s="7"/>
      <c r="D1149" s="17"/>
      <c r="E1149" s="218"/>
      <c r="F1149" s="218"/>
      <c r="G1149" s="218"/>
      <c r="H1149" s="218"/>
      <c r="I1149" s="218"/>
      <c r="J1149" s="218"/>
      <c r="K1149" s="299"/>
      <c r="L1149" s="299"/>
      <c r="M1149" s="273"/>
    </row>
    <row r="1150" spans="1:13" ht="15" thickBot="1" x14ac:dyDescent="0.25">
      <c r="A1150" s="235"/>
      <c r="B1150" s="9"/>
      <c r="C1150" s="7" t="s">
        <v>536</v>
      </c>
      <c r="D1150" s="408" t="s">
        <v>494</v>
      </c>
      <c r="E1150" s="409"/>
      <c r="F1150" s="218"/>
      <c r="G1150" s="218"/>
      <c r="H1150" s="218"/>
      <c r="I1150" s="218"/>
      <c r="J1150" s="218"/>
      <c r="K1150" s="299"/>
      <c r="L1150" s="299"/>
      <c r="M1150" s="36">
        <f>SUM(M1153:M1187)</f>
        <v>401.79999999999995</v>
      </c>
    </row>
    <row r="1151" spans="1:13" x14ac:dyDescent="0.2">
      <c r="A1151" s="235"/>
      <c r="B1151" s="9"/>
      <c r="C1151" s="7"/>
      <c r="D1151" s="17"/>
      <c r="E1151" s="218"/>
      <c r="F1151" s="218"/>
      <c r="G1151" s="218"/>
      <c r="H1151" s="218"/>
      <c r="I1151" s="218"/>
      <c r="J1151" s="218"/>
      <c r="K1151" s="299"/>
      <c r="L1151" s="299"/>
      <c r="M1151" s="273"/>
    </row>
    <row r="1152" spans="1:13" x14ac:dyDescent="0.2">
      <c r="A1152" s="235"/>
      <c r="B1152" s="9"/>
      <c r="C1152" s="7" t="s">
        <v>537</v>
      </c>
      <c r="D1152" s="17"/>
      <c r="E1152" s="218"/>
      <c r="F1152" s="218"/>
      <c r="G1152" s="139"/>
      <c r="H1152" s="218"/>
      <c r="I1152" s="218"/>
      <c r="J1152" s="218"/>
      <c r="K1152" s="299"/>
      <c r="L1152" s="299"/>
      <c r="M1152" s="273"/>
    </row>
    <row r="1153" spans="1:13" x14ac:dyDescent="0.2">
      <c r="A1153" s="235"/>
      <c r="B1153" s="9"/>
      <c r="C1153" s="7" t="s">
        <v>538</v>
      </c>
      <c r="D1153" s="17"/>
      <c r="E1153" s="218"/>
      <c r="F1153" s="218"/>
      <c r="G1153" s="218">
        <v>35.6</v>
      </c>
      <c r="H1153" s="218"/>
      <c r="I1153" s="218">
        <v>2.8</v>
      </c>
      <c r="J1153" s="218">
        <f>G1153*I1153</f>
        <v>99.679999999999993</v>
      </c>
      <c r="K1153" s="299"/>
      <c r="L1153" s="299"/>
      <c r="M1153" s="273"/>
    </row>
    <row r="1154" spans="1:13" x14ac:dyDescent="0.2">
      <c r="A1154" s="235"/>
      <c r="B1154" s="9"/>
      <c r="C1154" s="7" t="s">
        <v>539</v>
      </c>
      <c r="D1154" s="17"/>
      <c r="E1154" s="218"/>
      <c r="F1154" s="218"/>
      <c r="G1154" s="218">
        <v>-4</v>
      </c>
      <c r="H1154" s="218"/>
      <c r="I1154" s="218">
        <v>1.6</v>
      </c>
      <c r="J1154" s="218">
        <f>G1154*I1154</f>
        <v>-6.4</v>
      </c>
      <c r="K1154" s="299"/>
      <c r="L1154" s="299"/>
      <c r="M1154" s="273"/>
    </row>
    <row r="1155" spans="1:13" x14ac:dyDescent="0.2">
      <c r="A1155" s="235"/>
      <c r="B1155" s="9"/>
      <c r="C1155" s="7" t="s">
        <v>540</v>
      </c>
      <c r="D1155" s="17"/>
      <c r="E1155" s="218"/>
      <c r="F1155" s="218"/>
      <c r="G1155" s="218">
        <v>-1.6</v>
      </c>
      <c r="H1155" s="218"/>
      <c r="I1155" s="218">
        <v>2.1</v>
      </c>
      <c r="J1155" s="218">
        <f>G1155*I1155</f>
        <v>-3.3600000000000003</v>
      </c>
      <c r="K1155" s="299"/>
      <c r="L1155" s="299"/>
      <c r="M1155" s="273">
        <f>SUM(J1153:J1155)</f>
        <v>89.919999999999987</v>
      </c>
    </row>
    <row r="1156" spans="1:13" x14ac:dyDescent="0.2">
      <c r="A1156" s="235"/>
      <c r="B1156" s="9"/>
      <c r="C1156" s="7"/>
      <c r="D1156" s="17"/>
      <c r="E1156" s="218"/>
      <c r="F1156" s="218"/>
      <c r="G1156" s="218"/>
      <c r="H1156" s="218"/>
      <c r="I1156" s="218"/>
      <c r="J1156" s="218"/>
      <c r="K1156" s="299"/>
      <c r="L1156" s="299"/>
      <c r="M1156" s="273"/>
    </row>
    <row r="1157" spans="1:13" x14ac:dyDescent="0.2">
      <c r="A1157" s="235"/>
      <c r="B1157" s="9"/>
      <c r="C1157" s="7" t="s">
        <v>541</v>
      </c>
      <c r="D1157" s="17"/>
      <c r="E1157" s="218"/>
      <c r="F1157" s="218"/>
      <c r="G1157" s="218"/>
      <c r="H1157" s="218"/>
      <c r="I1157" s="218"/>
      <c r="J1157" s="218"/>
      <c r="K1157" s="299"/>
      <c r="L1157" s="299"/>
      <c r="M1157" s="273"/>
    </row>
    <row r="1158" spans="1:13" x14ac:dyDescent="0.2">
      <c r="A1158" s="235"/>
      <c r="B1158" s="9"/>
      <c r="C1158" s="7" t="s">
        <v>542</v>
      </c>
      <c r="D1158" s="17"/>
      <c r="E1158" s="218"/>
      <c r="F1158" s="218"/>
      <c r="G1158" s="218">
        <v>33.9</v>
      </c>
      <c r="H1158" s="218"/>
      <c r="I1158" s="218">
        <v>2.8</v>
      </c>
      <c r="J1158" s="218">
        <f>I1158*G1158</f>
        <v>94.919999999999987</v>
      </c>
      <c r="K1158" s="299"/>
      <c r="L1158" s="299"/>
      <c r="M1158" s="273"/>
    </row>
    <row r="1159" spans="1:13" x14ac:dyDescent="0.2">
      <c r="A1159" s="235"/>
      <c r="B1159" s="9"/>
      <c r="C1159" s="7" t="s">
        <v>543</v>
      </c>
      <c r="D1159" s="17"/>
      <c r="E1159" s="218"/>
      <c r="F1159" s="218"/>
      <c r="G1159" s="218">
        <v>-1.6</v>
      </c>
      <c r="H1159" s="218"/>
      <c r="I1159" s="218">
        <v>2.1</v>
      </c>
      <c r="J1159" s="218">
        <f>I1159*G1159</f>
        <v>-3.3600000000000003</v>
      </c>
      <c r="K1159" s="299"/>
      <c r="L1159" s="299"/>
      <c r="M1159" s="273"/>
    </row>
    <row r="1160" spans="1:13" x14ac:dyDescent="0.2">
      <c r="A1160" s="235"/>
      <c r="B1160" s="9"/>
      <c r="C1160" s="7" t="s">
        <v>544</v>
      </c>
      <c r="D1160" s="17"/>
      <c r="E1160" s="218"/>
      <c r="F1160" s="218"/>
      <c r="G1160" s="218">
        <v>-5.2</v>
      </c>
      <c r="H1160" s="218"/>
      <c r="I1160" s="218">
        <v>2.1</v>
      </c>
      <c r="J1160" s="218">
        <f>I1160*G1160</f>
        <v>-10.920000000000002</v>
      </c>
      <c r="K1160" s="299"/>
      <c r="L1160" s="299"/>
      <c r="M1160" s="273"/>
    </row>
    <row r="1161" spans="1:13" x14ac:dyDescent="0.2">
      <c r="A1161" s="235"/>
      <c r="B1161" s="9"/>
      <c r="C1161" s="7" t="s">
        <v>545</v>
      </c>
      <c r="D1161" s="17"/>
      <c r="E1161" s="218"/>
      <c r="F1161" s="218"/>
      <c r="G1161" s="218">
        <v>-1</v>
      </c>
      <c r="H1161" s="218"/>
      <c r="I1161" s="218">
        <v>0.5</v>
      </c>
      <c r="J1161" s="218">
        <f>I1161*G1161</f>
        <v>-0.5</v>
      </c>
      <c r="K1161" s="34"/>
      <c r="L1161" s="35"/>
      <c r="M1161" s="273">
        <f>SUM(J1158:J1161)</f>
        <v>80.139999999999986</v>
      </c>
    </row>
    <row r="1162" spans="1:13" x14ac:dyDescent="0.2">
      <c r="A1162" s="235"/>
      <c r="B1162" s="9"/>
      <c r="C1162" s="7"/>
      <c r="D1162" s="17"/>
      <c r="E1162" s="218"/>
      <c r="F1162" s="218"/>
      <c r="G1162" s="218"/>
      <c r="H1162" s="218"/>
      <c r="I1162" s="218"/>
      <c r="J1162" s="218"/>
      <c r="K1162" s="34"/>
      <c r="L1162" s="35"/>
      <c r="M1162" s="273"/>
    </row>
    <row r="1163" spans="1:13" x14ac:dyDescent="0.2">
      <c r="A1163" s="235"/>
      <c r="B1163" s="9"/>
      <c r="C1163" s="7" t="s">
        <v>546</v>
      </c>
      <c r="D1163" s="17"/>
      <c r="E1163" s="218"/>
      <c r="F1163" s="218"/>
      <c r="G1163" s="218"/>
      <c r="H1163" s="218"/>
      <c r="I1163" s="218"/>
      <c r="J1163" s="218"/>
      <c r="K1163" s="34"/>
      <c r="L1163" s="35"/>
      <c r="M1163" s="273"/>
    </row>
    <row r="1164" spans="1:13" x14ac:dyDescent="0.2">
      <c r="A1164" s="235"/>
      <c r="B1164" s="9"/>
      <c r="C1164" s="7" t="s">
        <v>547</v>
      </c>
      <c r="D1164" s="17"/>
      <c r="E1164" s="218"/>
      <c r="F1164" s="218"/>
      <c r="G1164" s="218">
        <v>30.3</v>
      </c>
      <c r="H1164" s="218"/>
      <c r="I1164" s="218">
        <v>2.8</v>
      </c>
      <c r="J1164" s="218">
        <f>G1164*I1164</f>
        <v>84.84</v>
      </c>
      <c r="K1164" s="34"/>
      <c r="L1164" s="35"/>
      <c r="M1164" s="273"/>
    </row>
    <row r="1165" spans="1:13" x14ac:dyDescent="0.2">
      <c r="A1165" s="235"/>
      <c r="B1165" s="9"/>
      <c r="C1165" s="7" t="s">
        <v>544</v>
      </c>
      <c r="D1165" s="17"/>
      <c r="E1165" s="218"/>
      <c r="F1165" s="218"/>
      <c r="G1165" s="218">
        <v>-5.2</v>
      </c>
      <c r="H1165" s="218"/>
      <c r="I1165" s="218">
        <v>2.1</v>
      </c>
      <c r="J1165" s="218">
        <f>G1165*I1165</f>
        <v>-10.920000000000002</v>
      </c>
      <c r="K1165" s="34"/>
      <c r="L1165" s="35"/>
      <c r="M1165" s="273"/>
    </row>
    <row r="1166" spans="1:13" x14ac:dyDescent="0.2">
      <c r="A1166" s="235"/>
      <c r="B1166" s="9"/>
      <c r="C1166" s="7" t="s">
        <v>548</v>
      </c>
      <c r="D1166" s="17"/>
      <c r="E1166" s="218"/>
      <c r="F1166" s="218"/>
      <c r="G1166" s="218">
        <v>-3.7</v>
      </c>
      <c r="H1166" s="218"/>
      <c r="I1166" s="218">
        <v>2.6</v>
      </c>
      <c r="J1166" s="218">
        <f>G1166*I1166</f>
        <v>-9.620000000000001</v>
      </c>
      <c r="K1166" s="34"/>
      <c r="L1166" s="35"/>
      <c r="M1166" s="273">
        <f>SUM(J1164:J1166)</f>
        <v>64.3</v>
      </c>
    </row>
    <row r="1167" spans="1:13" x14ac:dyDescent="0.2">
      <c r="A1167" s="235"/>
      <c r="B1167" s="9"/>
      <c r="C1167" s="7"/>
      <c r="D1167" s="17"/>
      <c r="E1167" s="218"/>
      <c r="F1167" s="218"/>
      <c r="G1167" s="218"/>
      <c r="H1167" s="218"/>
      <c r="I1167" s="218"/>
      <c r="J1167" s="218"/>
      <c r="K1167" s="34"/>
      <c r="L1167" s="35"/>
      <c r="M1167" s="273"/>
    </row>
    <row r="1168" spans="1:13" x14ac:dyDescent="0.2">
      <c r="A1168" s="235"/>
      <c r="B1168" s="9"/>
      <c r="C1168" s="7" t="s">
        <v>486</v>
      </c>
      <c r="D1168" s="17"/>
      <c r="E1168" s="218"/>
      <c r="F1168" s="218"/>
      <c r="G1168" s="218"/>
      <c r="H1168" s="218"/>
      <c r="I1168" s="218"/>
      <c r="J1168" s="218"/>
      <c r="K1168" s="34"/>
      <c r="L1168" s="35"/>
      <c r="M1168" s="273"/>
    </row>
    <row r="1169" spans="1:13" x14ac:dyDescent="0.2">
      <c r="A1169" s="235"/>
      <c r="B1169" s="9"/>
      <c r="C1169" s="7" t="s">
        <v>549</v>
      </c>
      <c r="D1169" s="17"/>
      <c r="E1169" s="218"/>
      <c r="F1169" s="218"/>
      <c r="G1169" s="218">
        <v>25.2</v>
      </c>
      <c r="H1169" s="218"/>
      <c r="I1169" s="218">
        <v>2.8</v>
      </c>
      <c r="J1169" s="218">
        <f>G1169*I1169</f>
        <v>70.559999999999988</v>
      </c>
      <c r="K1169" s="34"/>
      <c r="L1169" s="35"/>
      <c r="M1169" s="273"/>
    </row>
    <row r="1170" spans="1:13" x14ac:dyDescent="0.2">
      <c r="A1170" s="235"/>
      <c r="B1170" s="9"/>
      <c r="C1170" s="7" t="s">
        <v>550</v>
      </c>
      <c r="D1170" s="17"/>
      <c r="E1170" s="218"/>
      <c r="F1170" s="218"/>
      <c r="G1170" s="218"/>
      <c r="H1170" s="218"/>
      <c r="I1170" s="218"/>
      <c r="J1170" s="218">
        <v>-9.6199999999999992</v>
      </c>
      <c r="K1170" s="34"/>
      <c r="L1170" s="35"/>
      <c r="M1170" s="273"/>
    </row>
    <row r="1171" spans="1:13" x14ac:dyDescent="0.2">
      <c r="A1171" s="235"/>
      <c r="B1171" s="9"/>
      <c r="C1171" s="7" t="s">
        <v>551</v>
      </c>
      <c r="D1171" s="17"/>
      <c r="E1171" s="218"/>
      <c r="F1171" s="218"/>
      <c r="G1171" s="218">
        <v>3.2</v>
      </c>
      <c r="H1171" s="218"/>
      <c r="I1171" s="218">
        <v>2.1</v>
      </c>
      <c r="J1171" s="218">
        <f>G1171*I1171</f>
        <v>6.7200000000000006</v>
      </c>
      <c r="K1171" s="34"/>
      <c r="L1171" s="35"/>
      <c r="M1171" s="273">
        <f>SUM(J1169:J1171)</f>
        <v>67.66</v>
      </c>
    </row>
    <row r="1172" spans="1:13" x14ac:dyDescent="0.2">
      <c r="A1172" s="235"/>
      <c r="B1172" s="9"/>
      <c r="C1172" s="7"/>
      <c r="D1172" s="17"/>
      <c r="E1172" s="218"/>
      <c r="F1172" s="218"/>
      <c r="G1172" s="218"/>
      <c r="H1172" s="218"/>
      <c r="I1172" s="218"/>
      <c r="J1172" s="218"/>
      <c r="K1172" s="34"/>
      <c r="L1172" s="35"/>
      <c r="M1172" s="273"/>
    </row>
    <row r="1173" spans="1:13" x14ac:dyDescent="0.2">
      <c r="A1173" s="235"/>
      <c r="B1173" s="9"/>
      <c r="C1173" s="7" t="s">
        <v>552</v>
      </c>
      <c r="D1173" s="17"/>
      <c r="E1173" s="218"/>
      <c r="F1173" s="218"/>
      <c r="G1173" s="218"/>
      <c r="H1173" s="218"/>
      <c r="I1173" s="218"/>
      <c r="J1173" s="218"/>
      <c r="K1173" s="34"/>
      <c r="L1173" s="35"/>
      <c r="M1173" s="273"/>
    </row>
    <row r="1174" spans="1:13" x14ac:dyDescent="0.2">
      <c r="A1174" s="235"/>
      <c r="B1174" s="9"/>
      <c r="C1174" s="7" t="s">
        <v>553</v>
      </c>
      <c r="D1174" s="17"/>
      <c r="E1174" s="218"/>
      <c r="F1174" s="218"/>
      <c r="G1174" s="218">
        <v>18.3</v>
      </c>
      <c r="H1174" s="218"/>
      <c r="I1174" s="218">
        <v>2.8</v>
      </c>
      <c r="J1174" s="218">
        <f>G1174*I1174</f>
        <v>51.24</v>
      </c>
      <c r="K1174" s="34"/>
      <c r="L1174" s="35"/>
      <c r="M1174" s="273"/>
    </row>
    <row r="1175" spans="1:13" x14ac:dyDescent="0.2">
      <c r="A1175" s="235"/>
      <c r="B1175" s="9"/>
      <c r="C1175" s="7" t="s">
        <v>554</v>
      </c>
      <c r="D1175" s="17"/>
      <c r="E1175" s="218"/>
      <c r="F1175" s="218"/>
      <c r="G1175" s="218">
        <v>-0.8</v>
      </c>
      <c r="H1175" s="218"/>
      <c r="I1175" s="218">
        <v>2.1</v>
      </c>
      <c r="J1175" s="218">
        <f>G1175*I1175</f>
        <v>-1.6800000000000002</v>
      </c>
      <c r="K1175" s="34"/>
      <c r="L1175" s="35"/>
      <c r="M1175" s="273"/>
    </row>
    <row r="1176" spans="1:13" x14ac:dyDescent="0.2">
      <c r="A1176" s="235"/>
      <c r="B1176" s="9"/>
      <c r="C1176" s="7" t="s">
        <v>555</v>
      </c>
      <c r="D1176" s="17"/>
      <c r="E1176" s="218"/>
      <c r="F1176" s="218"/>
      <c r="G1176" s="218">
        <v>-0.6</v>
      </c>
      <c r="H1176" s="218"/>
      <c r="I1176" s="218">
        <v>2.1</v>
      </c>
      <c r="J1176" s="218">
        <f>G1176*I1176</f>
        <v>-1.26</v>
      </c>
      <c r="K1176" s="34"/>
      <c r="L1176" s="35"/>
      <c r="M1176" s="273"/>
    </row>
    <row r="1177" spans="1:13" x14ac:dyDescent="0.2">
      <c r="A1177" s="235"/>
      <c r="B1177" s="9"/>
      <c r="C1177" s="7" t="s">
        <v>556</v>
      </c>
      <c r="D1177" s="17"/>
      <c r="E1177" s="218"/>
      <c r="F1177" s="218"/>
      <c r="G1177" s="218">
        <v>-6.9</v>
      </c>
      <c r="H1177" s="218"/>
      <c r="I1177" s="218">
        <v>1.6</v>
      </c>
      <c r="J1177" s="218">
        <f>G1177*I1177</f>
        <v>-11.040000000000001</v>
      </c>
      <c r="K1177" s="34"/>
      <c r="L1177" s="35"/>
      <c r="M1177" s="273">
        <f>SUM(J1174:J1177)</f>
        <v>37.260000000000005</v>
      </c>
    </row>
    <row r="1178" spans="1:13" x14ac:dyDescent="0.2">
      <c r="A1178" s="235"/>
      <c r="B1178" s="9"/>
      <c r="C1178" s="7"/>
      <c r="D1178" s="17"/>
      <c r="E1178" s="218"/>
      <c r="F1178" s="218"/>
      <c r="G1178" s="218"/>
      <c r="H1178" s="218"/>
      <c r="I1178" s="218"/>
      <c r="J1178" s="218"/>
      <c r="K1178" s="34"/>
      <c r="L1178" s="35"/>
      <c r="M1178" s="273"/>
    </row>
    <row r="1179" spans="1:13" x14ac:dyDescent="0.2">
      <c r="A1179" s="235"/>
      <c r="B1179" s="9"/>
      <c r="C1179" s="7" t="s">
        <v>557</v>
      </c>
      <c r="D1179" s="17"/>
      <c r="E1179" s="218"/>
      <c r="F1179" s="218"/>
      <c r="G1179" s="218"/>
      <c r="H1179" s="218"/>
      <c r="I1179" s="218"/>
      <c r="J1179" s="218"/>
      <c r="K1179" s="34"/>
      <c r="L1179" s="35"/>
      <c r="M1179" s="273"/>
    </row>
    <row r="1180" spans="1:13" x14ac:dyDescent="0.2">
      <c r="A1180" s="235"/>
      <c r="B1180" s="9"/>
      <c r="C1180" s="7" t="s">
        <v>558</v>
      </c>
      <c r="D1180" s="17"/>
      <c r="E1180" s="218"/>
      <c r="F1180" s="218"/>
      <c r="G1180" s="218">
        <v>11.9</v>
      </c>
      <c r="H1180" s="218"/>
      <c r="I1180" s="218">
        <v>2.8</v>
      </c>
      <c r="J1180" s="218">
        <f>G1180*I1180</f>
        <v>33.32</v>
      </c>
      <c r="K1180" s="34"/>
      <c r="L1180" s="35"/>
      <c r="M1180" s="273"/>
    </row>
    <row r="1181" spans="1:13" x14ac:dyDescent="0.2">
      <c r="A1181" s="235"/>
      <c r="B1181" s="9"/>
      <c r="C1181" s="7" t="s">
        <v>559</v>
      </c>
      <c r="D1181" s="17"/>
      <c r="E1181" s="218"/>
      <c r="F1181" s="218"/>
      <c r="G1181" s="218">
        <v>-2</v>
      </c>
      <c r="H1181" s="218"/>
      <c r="I1181" s="218">
        <v>1.6</v>
      </c>
      <c r="J1181" s="218">
        <f>G1181*I1181</f>
        <v>-3.2</v>
      </c>
      <c r="K1181" s="34"/>
      <c r="L1181" s="35"/>
      <c r="M1181" s="273"/>
    </row>
    <row r="1182" spans="1:13" x14ac:dyDescent="0.2">
      <c r="A1182" s="235"/>
      <c r="B1182" s="9"/>
      <c r="C1182" s="7" t="s">
        <v>560</v>
      </c>
      <c r="D1182" s="17"/>
      <c r="E1182" s="218"/>
      <c r="F1182" s="218"/>
      <c r="G1182" s="218">
        <v>-0.8</v>
      </c>
      <c r="H1182" s="218"/>
      <c r="I1182" s="218">
        <v>2.1</v>
      </c>
      <c r="J1182" s="218">
        <f>G1182*I1182</f>
        <v>-1.6800000000000002</v>
      </c>
      <c r="K1182" s="34"/>
      <c r="L1182" s="35"/>
      <c r="M1182" s="273">
        <f>SUM(J1180:J1182)</f>
        <v>28.44</v>
      </c>
    </row>
    <row r="1183" spans="1:13" x14ac:dyDescent="0.2">
      <c r="A1183" s="235"/>
      <c r="B1183" s="9"/>
      <c r="C1183" s="7"/>
      <c r="D1183" s="17"/>
      <c r="E1183" s="218"/>
      <c r="F1183" s="218"/>
      <c r="G1183" s="218"/>
      <c r="H1183" s="218"/>
      <c r="I1183" s="218"/>
      <c r="J1183" s="218"/>
      <c r="K1183" s="34"/>
      <c r="L1183" s="35"/>
      <c r="M1183" s="273"/>
    </row>
    <row r="1184" spans="1:13" x14ac:dyDescent="0.2">
      <c r="A1184" s="235"/>
      <c r="B1184" s="9"/>
      <c r="C1184" s="7" t="s">
        <v>561</v>
      </c>
      <c r="D1184" s="17"/>
      <c r="E1184" s="218"/>
      <c r="F1184" s="218"/>
      <c r="G1184" s="218"/>
      <c r="H1184" s="218"/>
      <c r="I1184" s="218"/>
      <c r="J1184" s="218"/>
      <c r="K1184" s="34"/>
      <c r="L1184" s="35"/>
      <c r="M1184" s="273"/>
    </row>
    <row r="1185" spans="1:13" x14ac:dyDescent="0.2">
      <c r="A1185" s="235"/>
      <c r="B1185" s="9"/>
      <c r="C1185" s="7" t="s">
        <v>562</v>
      </c>
      <c r="D1185" s="17"/>
      <c r="E1185" s="218"/>
      <c r="F1185" s="218"/>
      <c r="G1185" s="218">
        <v>15</v>
      </c>
      <c r="H1185" s="218"/>
      <c r="I1185" s="218">
        <v>2.8</v>
      </c>
      <c r="J1185" s="218">
        <f>G1185*I1185</f>
        <v>42</v>
      </c>
      <c r="K1185" s="34"/>
      <c r="L1185" s="35"/>
      <c r="M1185" s="273"/>
    </row>
    <row r="1186" spans="1:13" x14ac:dyDescent="0.2">
      <c r="A1186" s="235"/>
      <c r="B1186" s="9"/>
      <c r="C1186" s="7" t="s">
        <v>563</v>
      </c>
      <c r="D1186" s="17"/>
      <c r="E1186" s="218"/>
      <c r="F1186" s="218"/>
      <c r="G1186" s="218">
        <v>-3.9</v>
      </c>
      <c r="H1186" s="218"/>
      <c r="I1186" s="218">
        <v>1.6</v>
      </c>
      <c r="J1186" s="218">
        <f>G1186*I1186</f>
        <v>-6.24</v>
      </c>
      <c r="K1186" s="34"/>
      <c r="L1186" s="35"/>
      <c r="M1186" s="273"/>
    </row>
    <row r="1187" spans="1:13" x14ac:dyDescent="0.2">
      <c r="A1187" s="235"/>
      <c r="B1187" s="9"/>
      <c r="C1187" s="7" t="s">
        <v>564</v>
      </c>
      <c r="D1187" s="17"/>
      <c r="E1187" s="218"/>
      <c r="F1187" s="218"/>
      <c r="G1187" s="218">
        <v>-0.8</v>
      </c>
      <c r="H1187" s="218"/>
      <c r="I1187" s="218">
        <v>2.1</v>
      </c>
      <c r="J1187" s="218">
        <f>G1187*I1187</f>
        <v>-1.6800000000000002</v>
      </c>
      <c r="K1187" s="34"/>
      <c r="L1187" s="35"/>
      <c r="M1187" s="273">
        <f>SUM(J1185:J1187)</f>
        <v>34.08</v>
      </c>
    </row>
    <row r="1188" spans="1:13" x14ac:dyDescent="0.2">
      <c r="A1188" s="235"/>
      <c r="B1188" s="9"/>
      <c r="C1188" s="7"/>
      <c r="D1188" s="212"/>
      <c r="E1188" s="37"/>
      <c r="F1188" s="218"/>
      <c r="G1188" s="218"/>
      <c r="H1188" s="218"/>
      <c r="I1188" s="218"/>
      <c r="J1188" s="218"/>
      <c r="K1188" s="34"/>
      <c r="L1188" s="35"/>
      <c r="M1188" s="273"/>
    </row>
    <row r="1189" spans="1:13" x14ac:dyDescent="0.2">
      <c r="A1189" s="315"/>
      <c r="B1189" s="327"/>
      <c r="C1189" s="328"/>
      <c r="D1189" s="357"/>
      <c r="E1189" s="358"/>
      <c r="F1189" s="354"/>
      <c r="G1189" s="354"/>
      <c r="H1189" s="354"/>
      <c r="I1189" s="354"/>
      <c r="J1189" s="354"/>
      <c r="K1189" s="359"/>
      <c r="L1189" s="316"/>
      <c r="M1189" s="339"/>
    </row>
    <row r="1190" spans="1:13" ht="15" thickBot="1" x14ac:dyDescent="0.25">
      <c r="A1190" s="235"/>
      <c r="B1190" s="9"/>
      <c r="C1190" s="7"/>
      <c r="D1190" s="408" t="s">
        <v>495</v>
      </c>
      <c r="E1190" s="409"/>
      <c r="F1190" s="218"/>
      <c r="G1190" s="218"/>
      <c r="H1190" s="218"/>
      <c r="I1190" s="216"/>
      <c r="J1190" s="356">
        <f>SUM(J1192:J1202)</f>
        <v>200.45999999999998</v>
      </c>
      <c r="K1190" s="298"/>
      <c r="L1190" s="35"/>
      <c r="M1190" s="273"/>
    </row>
    <row r="1191" spans="1:13" x14ac:dyDescent="0.2">
      <c r="A1191" s="235"/>
      <c r="B1191" s="9"/>
      <c r="C1191" s="7"/>
      <c r="D1191" s="212"/>
      <c r="E1191" s="213"/>
      <c r="F1191" s="218"/>
      <c r="G1191" s="218"/>
      <c r="H1191" s="218"/>
      <c r="I1191" s="300"/>
      <c r="J1191" s="218"/>
      <c r="K1191" s="34"/>
      <c r="L1191" s="35"/>
      <c r="M1191" s="273"/>
    </row>
    <row r="1192" spans="1:13" x14ac:dyDescent="0.2">
      <c r="A1192" s="235"/>
      <c r="B1192" s="9"/>
      <c r="C1192" s="7" t="s">
        <v>565</v>
      </c>
      <c r="D1192" s="17"/>
      <c r="E1192" s="218"/>
      <c r="F1192" s="218"/>
      <c r="G1192" s="218"/>
      <c r="H1192" s="218"/>
      <c r="I1192" s="139"/>
      <c r="J1192" s="218">
        <v>57.07</v>
      </c>
      <c r="K1192" s="34"/>
      <c r="L1192" s="35"/>
      <c r="M1192" s="273"/>
    </row>
    <row r="1193" spans="1:13" x14ac:dyDescent="0.2">
      <c r="A1193" s="235"/>
      <c r="B1193" s="9"/>
      <c r="C1193" s="7"/>
      <c r="D1193" s="17"/>
      <c r="E1193" s="218"/>
      <c r="F1193" s="218"/>
      <c r="G1193" s="218"/>
      <c r="H1193" s="218"/>
      <c r="I1193" s="139"/>
      <c r="J1193" s="218"/>
      <c r="K1193" s="34"/>
      <c r="L1193" s="35"/>
      <c r="M1193" s="273"/>
    </row>
    <row r="1194" spans="1:13" x14ac:dyDescent="0.2">
      <c r="A1194" s="235"/>
      <c r="B1194" s="9"/>
      <c r="C1194" s="7" t="s">
        <v>566</v>
      </c>
      <c r="D1194" s="17"/>
      <c r="E1194" s="218"/>
      <c r="F1194" s="218"/>
      <c r="G1194" s="218"/>
      <c r="H1194" s="218"/>
      <c r="I1194" s="139"/>
      <c r="J1194" s="218"/>
      <c r="K1194" s="34"/>
      <c r="L1194" s="35"/>
      <c r="M1194" s="273"/>
    </row>
    <row r="1195" spans="1:13" x14ac:dyDescent="0.2">
      <c r="A1195" s="235"/>
      <c r="B1195" s="9"/>
      <c r="C1195" s="7" t="s">
        <v>567</v>
      </c>
      <c r="D1195" s="17"/>
      <c r="E1195" s="218"/>
      <c r="F1195" s="218"/>
      <c r="G1195" s="218"/>
      <c r="H1195" s="218"/>
      <c r="I1195" s="139"/>
      <c r="J1195" s="218">
        <v>123.52</v>
      </c>
      <c r="K1195" s="34"/>
      <c r="L1195" s="35"/>
      <c r="M1195" s="273"/>
    </row>
    <row r="1196" spans="1:13" x14ac:dyDescent="0.2">
      <c r="A1196" s="235"/>
      <c r="B1196" s="9"/>
      <c r="C1196" s="7" t="s">
        <v>568</v>
      </c>
      <c r="D1196" s="17"/>
      <c r="E1196" s="218"/>
      <c r="F1196" s="218"/>
      <c r="G1196" s="218"/>
      <c r="H1196" s="218"/>
      <c r="I1196" s="139"/>
      <c r="J1196" s="218">
        <v>-36.9</v>
      </c>
      <c r="K1196" s="34"/>
      <c r="L1196" s="35"/>
      <c r="M1196" s="273">
        <f>SUM(J1195:J1196)</f>
        <v>86.62</v>
      </c>
    </row>
    <row r="1197" spans="1:13" x14ac:dyDescent="0.2">
      <c r="A1197" s="235"/>
      <c r="B1197" s="9"/>
      <c r="C1197" s="7"/>
      <c r="D1197" s="17"/>
      <c r="E1197" s="218"/>
      <c r="F1197" s="218"/>
      <c r="G1197" s="218"/>
      <c r="H1197" s="218"/>
      <c r="I1197" s="139"/>
      <c r="J1197" s="218"/>
      <c r="K1197" s="34"/>
      <c r="L1197" s="35"/>
      <c r="M1197" s="273"/>
    </row>
    <row r="1198" spans="1:13" x14ac:dyDescent="0.2">
      <c r="A1198" s="235"/>
      <c r="B1198" s="9"/>
      <c r="C1198" s="7" t="s">
        <v>569</v>
      </c>
      <c r="D1198" s="17"/>
      <c r="E1198" s="218"/>
      <c r="F1198" s="218"/>
      <c r="G1198" s="218"/>
      <c r="H1198" s="218"/>
      <c r="I1198" s="139"/>
      <c r="J1198" s="218"/>
      <c r="K1198" s="34"/>
      <c r="L1198" s="35"/>
      <c r="M1198" s="273"/>
    </row>
    <row r="1199" spans="1:13" x14ac:dyDescent="0.2">
      <c r="A1199" s="235"/>
      <c r="B1199" s="9"/>
      <c r="C1199" s="7" t="s">
        <v>571</v>
      </c>
      <c r="D1199" s="17"/>
      <c r="E1199" s="218"/>
      <c r="F1199" s="218"/>
      <c r="G1199" s="218"/>
      <c r="H1199" s="218"/>
      <c r="I1199" s="139"/>
      <c r="J1199" s="218">
        <v>21.36</v>
      </c>
      <c r="K1199" s="34"/>
      <c r="L1199" s="35"/>
      <c r="M1199" s="273"/>
    </row>
    <row r="1200" spans="1:13" x14ac:dyDescent="0.2">
      <c r="A1200" s="235"/>
      <c r="B1200" s="9"/>
      <c r="C1200" s="7" t="s">
        <v>570</v>
      </c>
      <c r="D1200" s="17"/>
      <c r="E1200" s="218"/>
      <c r="F1200" s="218"/>
      <c r="G1200" s="218"/>
      <c r="H1200" s="218"/>
      <c r="I1200" s="139"/>
      <c r="J1200" s="218">
        <v>12.7</v>
      </c>
      <c r="K1200" s="34"/>
      <c r="L1200" s="35"/>
      <c r="M1200" s="273"/>
    </row>
    <row r="1201" spans="1:13" x14ac:dyDescent="0.2">
      <c r="A1201" s="235"/>
      <c r="B1201" s="9"/>
      <c r="C1201" s="7" t="s">
        <v>572</v>
      </c>
      <c r="D1201" s="17"/>
      <c r="E1201" s="218"/>
      <c r="F1201" s="218"/>
      <c r="G1201" s="218"/>
      <c r="H1201" s="218"/>
      <c r="I1201" s="139"/>
      <c r="J1201" s="218">
        <v>7.89</v>
      </c>
      <c r="K1201" s="34"/>
      <c r="L1201" s="35"/>
      <c r="M1201" s="273"/>
    </row>
    <row r="1202" spans="1:13" x14ac:dyDescent="0.2">
      <c r="A1202" s="235"/>
      <c r="B1202" s="9"/>
      <c r="C1202" s="7" t="s">
        <v>573</v>
      </c>
      <c r="D1202" s="17"/>
      <c r="E1202" s="218"/>
      <c r="F1202" s="218"/>
      <c r="G1202" s="218"/>
      <c r="H1202" s="218"/>
      <c r="I1202" s="139"/>
      <c r="J1202" s="218">
        <v>14.82</v>
      </c>
      <c r="K1202" s="34"/>
      <c r="L1202" s="35"/>
      <c r="M1202" s="273"/>
    </row>
    <row r="1203" spans="1:13" ht="15" customHeight="1" x14ac:dyDescent="0.2">
      <c r="A1203" s="235"/>
      <c r="B1203" s="9"/>
      <c r="C1203" s="7"/>
      <c r="D1203" s="17"/>
      <c r="E1203" s="218"/>
      <c r="F1203" s="218"/>
      <c r="G1203" s="139"/>
      <c r="H1203" s="139"/>
      <c r="I1203" s="139"/>
      <c r="J1203" s="139"/>
      <c r="K1203" s="34"/>
      <c r="L1203" s="35"/>
      <c r="M1203" s="273"/>
    </row>
    <row r="1204" spans="1:13" ht="15" customHeight="1" x14ac:dyDescent="0.2">
      <c r="A1204" s="235"/>
      <c r="B1204" s="9"/>
      <c r="C1204" s="7"/>
      <c r="D1204" s="17"/>
      <c r="E1204" s="218"/>
      <c r="F1204" s="218"/>
      <c r="G1204" s="139"/>
      <c r="H1204" s="139"/>
      <c r="I1204" s="139"/>
      <c r="J1204" s="139"/>
      <c r="K1204" s="34"/>
      <c r="L1204" s="35"/>
      <c r="M1204" s="273"/>
    </row>
    <row r="1205" spans="1:13" x14ac:dyDescent="0.2">
      <c r="A1205" s="235"/>
      <c r="B1205" s="9"/>
      <c r="C1205" s="7"/>
      <c r="D1205" s="17"/>
      <c r="E1205" s="218"/>
      <c r="F1205" s="218"/>
      <c r="G1205" s="414" t="s">
        <v>574</v>
      </c>
      <c r="H1205" s="412" t="s">
        <v>533</v>
      </c>
      <c r="I1205" s="413"/>
      <c r="J1205" s="301">
        <v>200.46</v>
      </c>
      <c r="K1205" s="34"/>
      <c r="L1205" s="35"/>
      <c r="M1205" s="273"/>
    </row>
    <row r="1206" spans="1:13" x14ac:dyDescent="0.2">
      <c r="A1206" s="235"/>
      <c r="B1206" s="9"/>
      <c r="C1206" s="7"/>
      <c r="D1206" s="17"/>
      <c r="E1206" s="218"/>
      <c r="F1206" s="218"/>
      <c r="G1206" s="415"/>
      <c r="H1206" s="412" t="s">
        <v>534</v>
      </c>
      <c r="I1206" s="413"/>
      <c r="J1206" s="301">
        <f>M1150</f>
        <v>401.79999999999995</v>
      </c>
      <c r="K1206" s="34"/>
      <c r="L1206" s="35"/>
      <c r="M1206" s="273"/>
    </row>
    <row r="1207" spans="1:13" ht="12.75" customHeight="1" x14ac:dyDescent="0.2">
      <c r="A1207" s="235"/>
      <c r="B1207" s="9"/>
      <c r="C1207" s="7"/>
      <c r="D1207" s="17"/>
      <c r="E1207" s="218"/>
      <c r="F1207" s="218"/>
      <c r="G1207" s="218"/>
      <c r="H1207" s="216"/>
      <c r="I1207" s="37"/>
      <c r="J1207" s="302">
        <f>SUM(J1205:J1206)</f>
        <v>602.26</v>
      </c>
      <c r="K1207" s="34"/>
      <c r="L1207" s="35"/>
      <c r="M1207" s="273"/>
    </row>
    <row r="1208" spans="1:13" ht="12.75" customHeight="1" x14ac:dyDescent="0.2">
      <c r="A1208" s="235"/>
      <c r="B1208" s="9"/>
      <c r="C1208" s="7"/>
      <c r="D1208" s="17"/>
      <c r="E1208" s="218"/>
      <c r="F1208" s="218"/>
      <c r="G1208" s="414" t="s">
        <v>575</v>
      </c>
      <c r="H1208" s="412" t="s">
        <v>533</v>
      </c>
      <c r="I1208" s="413"/>
      <c r="J1208" s="302">
        <v>175.03</v>
      </c>
      <c r="K1208" s="34"/>
      <c r="L1208" s="35"/>
      <c r="M1208" s="273"/>
    </row>
    <row r="1209" spans="1:13" ht="12.75" customHeight="1" x14ac:dyDescent="0.2">
      <c r="A1209" s="235"/>
      <c r="B1209" s="9"/>
      <c r="C1209" s="7"/>
      <c r="D1209" s="17"/>
      <c r="E1209" s="218"/>
      <c r="F1209" s="218"/>
      <c r="G1209" s="415"/>
      <c r="H1209" s="412" t="s">
        <v>534</v>
      </c>
      <c r="I1209" s="413"/>
      <c r="J1209" s="302">
        <v>222.1</v>
      </c>
      <c r="K1209" s="34"/>
      <c r="L1209" s="35"/>
      <c r="M1209" s="273"/>
    </row>
    <row r="1210" spans="1:13" ht="12.75" customHeight="1" x14ac:dyDescent="0.2">
      <c r="A1210" s="235"/>
      <c r="B1210" s="9"/>
      <c r="C1210" s="7"/>
      <c r="D1210" s="17"/>
      <c r="E1210" s="218"/>
      <c r="F1210" s="218"/>
      <c r="G1210" s="414" t="s">
        <v>535</v>
      </c>
      <c r="H1210" s="412" t="s">
        <v>533</v>
      </c>
      <c r="I1210" s="413"/>
      <c r="J1210" s="302">
        <v>199.26</v>
      </c>
      <c r="K1210" s="34"/>
      <c r="L1210" s="35"/>
      <c r="M1210" s="273"/>
    </row>
    <row r="1211" spans="1:13" ht="12.75" customHeight="1" x14ac:dyDescent="0.2">
      <c r="A1211" s="235"/>
      <c r="B1211" s="9"/>
      <c r="C1211" s="7"/>
      <c r="D1211" s="17"/>
      <c r="E1211" s="218"/>
      <c r="F1211" s="218"/>
      <c r="G1211" s="415"/>
      <c r="H1211" s="412" t="s">
        <v>534</v>
      </c>
      <c r="I1211" s="413"/>
      <c r="J1211" s="302">
        <v>507.23</v>
      </c>
      <c r="K1211" s="34"/>
      <c r="L1211" s="35"/>
      <c r="M1211" s="273"/>
    </row>
    <row r="1212" spans="1:13" ht="12.75" customHeight="1" x14ac:dyDescent="0.2">
      <c r="A1212" s="235"/>
      <c r="B1212" s="9"/>
      <c r="C1212" s="7"/>
      <c r="D1212" s="17"/>
      <c r="E1212" s="218"/>
      <c r="F1212" s="218"/>
      <c r="G1212" s="414" t="s">
        <v>574</v>
      </c>
      <c r="H1212" s="412" t="s">
        <v>533</v>
      </c>
      <c r="I1212" s="413"/>
      <c r="J1212" s="301">
        <v>200.46</v>
      </c>
      <c r="K1212" s="34"/>
      <c r="L1212" s="35"/>
      <c r="M1212" s="273"/>
    </row>
    <row r="1213" spans="1:13" ht="12.75" customHeight="1" x14ac:dyDescent="0.2">
      <c r="A1213" s="235"/>
      <c r="B1213" s="9"/>
      <c r="C1213" s="7"/>
      <c r="D1213" s="17"/>
      <c r="E1213" s="218"/>
      <c r="F1213" s="218"/>
      <c r="G1213" s="423"/>
      <c r="H1213" s="424" t="s">
        <v>534</v>
      </c>
      <c r="I1213" s="425"/>
      <c r="J1213" s="301">
        <v>401.8</v>
      </c>
      <c r="K1213" s="34"/>
      <c r="L1213" s="35"/>
      <c r="M1213" s="273"/>
    </row>
    <row r="1214" spans="1:13" ht="12.75" customHeight="1" x14ac:dyDescent="0.2">
      <c r="A1214" s="235"/>
      <c r="B1214" s="9"/>
      <c r="C1214" s="7"/>
      <c r="D1214" s="17"/>
      <c r="E1214" s="218"/>
      <c r="F1214" s="218"/>
      <c r="G1214" s="416" t="s">
        <v>576</v>
      </c>
      <c r="H1214" s="416"/>
      <c r="I1214" s="416"/>
      <c r="J1214" s="40">
        <f>J1208+J1210+J1212</f>
        <v>574.75</v>
      </c>
      <c r="K1214" s="416">
        <f>J1214+J1215</f>
        <v>1705.88</v>
      </c>
      <c r="L1214" s="416"/>
      <c r="M1214" s="273"/>
    </row>
    <row r="1215" spans="1:13" x14ac:dyDescent="0.2">
      <c r="A1215" s="235"/>
      <c r="B1215" s="9"/>
      <c r="C1215" s="7"/>
      <c r="D1215" s="17"/>
      <c r="E1215" s="218"/>
      <c r="F1215" s="218"/>
      <c r="G1215" s="416" t="s">
        <v>577</v>
      </c>
      <c r="H1215" s="416"/>
      <c r="I1215" s="416"/>
      <c r="J1215" s="41">
        <f>J1209+J1211+J1213</f>
        <v>1131.1300000000001</v>
      </c>
      <c r="K1215" s="416"/>
      <c r="L1215" s="416"/>
      <c r="M1215" s="273"/>
    </row>
    <row r="1216" spans="1:13" x14ac:dyDescent="0.2">
      <c r="A1216" s="235"/>
      <c r="B1216" s="9"/>
      <c r="C1216" s="7"/>
      <c r="D1216" s="17"/>
      <c r="E1216" s="218"/>
      <c r="F1216" s="218"/>
      <c r="G1216" s="218"/>
      <c r="H1216" s="218"/>
      <c r="I1216" s="218"/>
      <c r="J1216" s="42"/>
      <c r="K1216" s="218"/>
      <c r="L1216" s="218"/>
      <c r="M1216" s="273"/>
    </row>
    <row r="1217" spans="1:13" ht="15" thickBot="1" x14ac:dyDescent="0.25">
      <c r="A1217" s="235"/>
      <c r="B1217" s="9"/>
      <c r="C1217" s="7"/>
      <c r="D1217" s="17"/>
      <c r="E1217" s="218"/>
      <c r="F1217" s="218"/>
      <c r="G1217" s="218"/>
      <c r="H1217" s="218"/>
      <c r="I1217" s="218"/>
      <c r="J1217" s="42"/>
      <c r="K1217" s="218"/>
      <c r="L1217" s="218"/>
      <c r="M1217" s="273"/>
    </row>
    <row r="1218" spans="1:13" ht="15" thickBot="1" x14ac:dyDescent="0.25">
      <c r="A1218" s="235"/>
      <c r="B1218" s="9"/>
      <c r="C1218" s="7" t="s">
        <v>578</v>
      </c>
      <c r="D1218" s="17"/>
      <c r="E1218" s="218"/>
      <c r="F1218" s="218"/>
      <c r="G1218" s="218"/>
      <c r="H1218" s="218"/>
      <c r="I1218" s="218"/>
      <c r="J1218" s="42"/>
      <c r="K1218" s="218"/>
      <c r="L1218" s="216"/>
      <c r="M1218" s="36">
        <f>SUM(M1223:M1271)</f>
        <v>86.68</v>
      </c>
    </row>
    <row r="1219" spans="1:13" x14ac:dyDescent="0.2">
      <c r="A1219" s="235"/>
      <c r="B1219" s="9"/>
      <c r="C1219" s="7"/>
      <c r="D1219" s="17"/>
      <c r="E1219" s="218"/>
      <c r="F1219" s="218"/>
      <c r="G1219" s="218"/>
      <c r="H1219" s="218"/>
      <c r="I1219" s="218"/>
      <c r="J1219" s="42"/>
      <c r="K1219" s="218"/>
      <c r="L1219" s="218"/>
      <c r="M1219" s="273"/>
    </row>
    <row r="1220" spans="1:13" x14ac:dyDescent="0.2">
      <c r="A1220" s="235"/>
      <c r="B1220" s="9"/>
      <c r="C1220" s="7" t="s">
        <v>579</v>
      </c>
      <c r="D1220" s="17"/>
      <c r="E1220" s="218"/>
      <c r="F1220" s="218"/>
      <c r="G1220" s="218"/>
      <c r="H1220" s="218"/>
      <c r="I1220" s="218"/>
      <c r="J1220" s="42"/>
      <c r="K1220" s="218"/>
      <c r="L1220" s="218"/>
      <c r="M1220" s="273"/>
    </row>
    <row r="1221" spans="1:13" x14ac:dyDescent="0.2">
      <c r="A1221" s="235"/>
      <c r="B1221" s="9"/>
      <c r="C1221" s="7" t="s">
        <v>580</v>
      </c>
      <c r="D1221" s="17"/>
      <c r="E1221" s="218"/>
      <c r="F1221" s="218"/>
      <c r="G1221" s="218">
        <v>7.2</v>
      </c>
      <c r="H1221" s="218"/>
      <c r="I1221" s="218">
        <v>1.6</v>
      </c>
      <c r="J1221" s="43">
        <f>G1221*I1221</f>
        <v>11.520000000000001</v>
      </c>
      <c r="K1221" s="218"/>
      <c r="L1221" s="218"/>
      <c r="M1221" s="273"/>
    </row>
    <row r="1222" spans="1:13" x14ac:dyDescent="0.2">
      <c r="A1222" s="235"/>
      <c r="B1222" s="9"/>
      <c r="C1222" s="7" t="s">
        <v>581</v>
      </c>
      <c r="D1222" s="17"/>
      <c r="E1222" s="218"/>
      <c r="F1222" s="218"/>
      <c r="G1222" s="218"/>
      <c r="H1222" s="218"/>
      <c r="I1222" s="218">
        <v>-0.42</v>
      </c>
      <c r="J1222" s="44">
        <v>-0.42</v>
      </c>
      <c r="K1222" s="218"/>
      <c r="L1222" s="218"/>
      <c r="M1222" s="273"/>
    </row>
    <row r="1223" spans="1:13" x14ac:dyDescent="0.2">
      <c r="A1223" s="235"/>
      <c r="B1223" s="9"/>
      <c r="C1223" s="7" t="s">
        <v>582</v>
      </c>
      <c r="D1223" s="17"/>
      <c r="E1223" s="218"/>
      <c r="F1223" s="218"/>
      <c r="G1223" s="218"/>
      <c r="H1223" s="218"/>
      <c r="I1223" s="218"/>
      <c r="J1223" s="42">
        <v>-0.72</v>
      </c>
      <c r="K1223" s="218"/>
      <c r="L1223" s="218"/>
      <c r="M1223" s="273">
        <f>SUM(J1221:J1223)</f>
        <v>10.38</v>
      </c>
    </row>
    <row r="1224" spans="1:13" x14ac:dyDescent="0.2">
      <c r="A1224" s="235"/>
      <c r="B1224" s="9"/>
      <c r="C1224" s="7"/>
      <c r="D1224" s="17"/>
      <c r="E1224" s="218"/>
      <c r="F1224" s="218"/>
      <c r="G1224" s="218"/>
      <c r="H1224" s="218"/>
      <c r="I1224" s="218"/>
      <c r="J1224" s="42"/>
      <c r="K1224" s="218"/>
      <c r="L1224" s="218"/>
      <c r="M1224" s="273"/>
    </row>
    <row r="1225" spans="1:13" x14ac:dyDescent="0.2">
      <c r="A1225" s="235"/>
      <c r="B1225" s="9"/>
      <c r="C1225" s="7" t="s">
        <v>533</v>
      </c>
      <c r="D1225" s="17"/>
      <c r="E1225" s="218"/>
      <c r="F1225" s="218">
        <v>2.2999999999999998</v>
      </c>
      <c r="G1225" s="218"/>
      <c r="H1225" s="218">
        <v>1.3</v>
      </c>
      <c r="I1225" s="218"/>
      <c r="J1225" s="42"/>
      <c r="K1225" s="218">
        <f>F1225*H1225</f>
        <v>2.9899999999999998</v>
      </c>
      <c r="L1225" s="218"/>
      <c r="M1225" s="273"/>
    </row>
    <row r="1226" spans="1:13" x14ac:dyDescent="0.2">
      <c r="A1226" s="235"/>
      <c r="B1226" s="9"/>
      <c r="C1226" s="7"/>
      <c r="D1226" s="17"/>
      <c r="E1226" s="218"/>
      <c r="F1226" s="218"/>
      <c r="G1226" s="218"/>
      <c r="H1226" s="218"/>
      <c r="I1226" s="218"/>
      <c r="J1226" s="42"/>
      <c r="K1226" s="218"/>
      <c r="L1226" s="218"/>
      <c r="M1226" s="273"/>
    </row>
    <row r="1227" spans="1:13" x14ac:dyDescent="0.2">
      <c r="A1227" s="235"/>
      <c r="B1227" s="9"/>
      <c r="C1227" s="7" t="s">
        <v>583</v>
      </c>
      <c r="D1227" s="17"/>
      <c r="E1227" s="218"/>
      <c r="F1227" s="218"/>
      <c r="G1227" s="218"/>
      <c r="H1227" s="218"/>
      <c r="I1227" s="218"/>
      <c r="J1227" s="42"/>
      <c r="K1227" s="218"/>
      <c r="L1227" s="218"/>
      <c r="M1227" s="273"/>
    </row>
    <row r="1228" spans="1:13" x14ac:dyDescent="0.2">
      <c r="A1228" s="235"/>
      <c r="B1228" s="9"/>
      <c r="C1228" s="7" t="s">
        <v>584</v>
      </c>
      <c r="D1228" s="17"/>
      <c r="E1228" s="218"/>
      <c r="F1228" s="218"/>
      <c r="G1228" s="218">
        <v>6.2</v>
      </c>
      <c r="H1228" s="218"/>
      <c r="I1228" s="218">
        <v>1</v>
      </c>
      <c r="J1228" s="43">
        <f>G1228*I1228</f>
        <v>6.2</v>
      </c>
      <c r="K1228" s="218"/>
      <c r="L1228" s="218"/>
      <c r="M1228" s="273"/>
    </row>
    <row r="1229" spans="1:13" x14ac:dyDescent="0.2">
      <c r="A1229" s="235"/>
      <c r="B1229" s="9"/>
      <c r="C1229" s="7" t="s">
        <v>585</v>
      </c>
      <c r="D1229" s="17"/>
      <c r="E1229" s="218"/>
      <c r="F1229" s="218"/>
      <c r="G1229" s="218">
        <v>0.6</v>
      </c>
      <c r="H1229" s="218"/>
      <c r="I1229" s="218">
        <v>-0.7</v>
      </c>
      <c r="J1229" s="43">
        <f>G1229*I1229</f>
        <v>-0.42</v>
      </c>
      <c r="K1229" s="218"/>
      <c r="L1229" s="218"/>
      <c r="M1229" s="273"/>
    </row>
    <row r="1230" spans="1:13" x14ac:dyDescent="0.2">
      <c r="A1230" s="235"/>
      <c r="B1230" s="9"/>
      <c r="C1230" s="7" t="s">
        <v>586</v>
      </c>
      <c r="D1230" s="17"/>
      <c r="E1230" s="218"/>
      <c r="F1230" s="218"/>
      <c r="G1230" s="218">
        <v>0.6</v>
      </c>
      <c r="H1230" s="218"/>
      <c r="I1230" s="218">
        <v>-0.6</v>
      </c>
      <c r="J1230" s="43">
        <f>G1230*I1230</f>
        <v>-0.36</v>
      </c>
      <c r="K1230" s="218"/>
      <c r="L1230" s="218"/>
      <c r="M1230" s="273">
        <f>SUM(J1228:J1230)</f>
        <v>5.42</v>
      </c>
    </row>
    <row r="1231" spans="1:13" x14ac:dyDescent="0.2">
      <c r="A1231" s="235"/>
      <c r="B1231" s="9"/>
      <c r="C1231" s="7"/>
      <c r="D1231" s="17"/>
      <c r="E1231" s="218"/>
      <c r="F1231" s="218"/>
      <c r="G1231" s="218"/>
      <c r="H1231" s="218"/>
      <c r="I1231" s="218"/>
      <c r="J1231" s="42"/>
      <c r="K1231" s="218"/>
      <c r="L1231" s="218"/>
      <c r="M1231" s="273"/>
    </row>
    <row r="1232" spans="1:13" x14ac:dyDescent="0.2">
      <c r="A1232" s="235"/>
      <c r="B1232" s="9"/>
      <c r="C1232" s="7" t="s">
        <v>533</v>
      </c>
      <c r="D1232" s="17"/>
      <c r="E1232" s="218"/>
      <c r="F1232" s="218">
        <v>1.9</v>
      </c>
      <c r="G1232" s="218"/>
      <c r="H1232" s="218">
        <v>1.2</v>
      </c>
      <c r="I1232" s="218"/>
      <c r="J1232" s="42"/>
      <c r="K1232" s="218">
        <f>F1232*H1232</f>
        <v>2.2799999999999998</v>
      </c>
      <c r="L1232" s="218"/>
      <c r="M1232" s="273"/>
    </row>
    <row r="1233" spans="1:13" x14ac:dyDescent="0.2">
      <c r="A1233" s="235"/>
      <c r="B1233" s="9"/>
      <c r="C1233" s="7"/>
      <c r="D1233" s="17"/>
      <c r="E1233" s="218"/>
      <c r="F1233" s="218"/>
      <c r="G1233" s="218"/>
      <c r="H1233" s="218"/>
      <c r="I1233" s="218"/>
      <c r="J1233" s="42"/>
      <c r="K1233" s="218"/>
      <c r="L1233" s="218"/>
      <c r="M1233" s="273"/>
    </row>
    <row r="1234" spans="1:13" x14ac:dyDescent="0.2">
      <c r="A1234" s="235"/>
      <c r="B1234" s="9"/>
      <c r="C1234" s="7" t="s">
        <v>587</v>
      </c>
      <c r="D1234" s="17"/>
      <c r="E1234" s="218"/>
      <c r="F1234" s="218"/>
      <c r="G1234" s="218"/>
      <c r="H1234" s="218"/>
      <c r="I1234" s="218"/>
      <c r="J1234" s="42"/>
      <c r="K1234" s="218"/>
      <c r="L1234" s="218"/>
      <c r="M1234" s="273"/>
    </row>
    <row r="1235" spans="1:13" x14ac:dyDescent="0.2">
      <c r="A1235" s="235"/>
      <c r="B1235" s="9"/>
      <c r="C1235" s="7" t="s">
        <v>588</v>
      </c>
      <c r="D1235" s="17"/>
      <c r="E1235" s="218"/>
      <c r="F1235" s="218"/>
      <c r="G1235" s="218">
        <v>7.02</v>
      </c>
      <c r="H1235" s="218"/>
      <c r="I1235" s="218">
        <v>1</v>
      </c>
      <c r="J1235" s="43">
        <f>G1235*I1235</f>
        <v>7.02</v>
      </c>
      <c r="K1235" s="218"/>
      <c r="L1235" s="218"/>
      <c r="M1235" s="273"/>
    </row>
    <row r="1236" spans="1:13" x14ac:dyDescent="0.2">
      <c r="A1236" s="235"/>
      <c r="B1236" s="9"/>
      <c r="C1236" s="7" t="s">
        <v>589</v>
      </c>
      <c r="D1236" s="17"/>
      <c r="E1236" s="218"/>
      <c r="F1236" s="218"/>
      <c r="G1236" s="218"/>
      <c r="H1236" s="218"/>
      <c r="I1236" s="218"/>
      <c r="J1236" s="43">
        <v>-0.7</v>
      </c>
      <c r="K1236" s="218"/>
      <c r="L1236" s="218"/>
      <c r="M1236" s="273"/>
    </row>
    <row r="1237" spans="1:13" x14ac:dyDescent="0.2">
      <c r="A1237" s="235"/>
      <c r="B1237" s="9"/>
      <c r="C1237" s="7" t="s">
        <v>590</v>
      </c>
      <c r="D1237" s="17"/>
      <c r="E1237" s="218"/>
      <c r="F1237" s="218"/>
      <c r="G1237" s="218"/>
      <c r="H1237" s="218"/>
      <c r="I1237" s="218"/>
      <c r="J1237" s="43">
        <v>-0.36</v>
      </c>
      <c r="K1237" s="218"/>
      <c r="L1237" s="218"/>
      <c r="M1237" s="273">
        <f>SUM(J1235:J1237)</f>
        <v>5.9599999999999991</v>
      </c>
    </row>
    <row r="1238" spans="1:13" x14ac:dyDescent="0.2">
      <c r="A1238" s="235"/>
      <c r="B1238" s="9"/>
      <c r="C1238" s="7"/>
      <c r="D1238" s="17"/>
      <c r="E1238" s="218"/>
      <c r="F1238" s="218"/>
      <c r="G1238" s="218"/>
      <c r="H1238" s="218"/>
      <c r="I1238" s="218"/>
      <c r="J1238" s="42"/>
      <c r="K1238" s="218"/>
      <c r="L1238" s="218"/>
      <c r="M1238" s="273"/>
    </row>
    <row r="1239" spans="1:13" x14ac:dyDescent="0.2">
      <c r="A1239" s="235"/>
      <c r="B1239" s="9"/>
      <c r="C1239" s="7" t="s">
        <v>533</v>
      </c>
      <c r="D1239" s="17"/>
      <c r="E1239" s="218"/>
      <c r="F1239" s="218">
        <v>1.98</v>
      </c>
      <c r="G1239" s="218"/>
      <c r="H1239" s="218">
        <v>1.53</v>
      </c>
      <c r="I1239" s="218"/>
      <c r="J1239" s="42"/>
      <c r="K1239" s="218">
        <f>F1239*H1239</f>
        <v>3.0293999999999999</v>
      </c>
      <c r="L1239" s="218"/>
      <c r="M1239" s="273"/>
    </row>
    <row r="1240" spans="1:13" x14ac:dyDescent="0.2">
      <c r="A1240" s="235"/>
      <c r="B1240" s="9"/>
      <c r="C1240" s="7"/>
      <c r="D1240" s="17"/>
      <c r="E1240" s="218"/>
      <c r="F1240" s="218"/>
      <c r="G1240" s="218"/>
      <c r="H1240" s="218"/>
      <c r="I1240" s="218"/>
      <c r="J1240" s="42"/>
      <c r="K1240" s="218"/>
      <c r="L1240" s="218"/>
      <c r="M1240" s="273"/>
    </row>
    <row r="1241" spans="1:13" x14ac:dyDescent="0.2">
      <c r="A1241" s="235"/>
      <c r="B1241" s="9"/>
      <c r="C1241" s="7" t="s">
        <v>591</v>
      </c>
      <c r="D1241" s="17"/>
      <c r="E1241" s="218"/>
      <c r="F1241" s="218"/>
      <c r="G1241" s="218"/>
      <c r="H1241" s="218"/>
      <c r="I1241" s="218"/>
      <c r="J1241" s="42"/>
      <c r="K1241" s="218"/>
      <c r="L1241" s="218"/>
      <c r="M1241" s="273"/>
    </row>
    <row r="1242" spans="1:13" x14ac:dyDescent="0.2">
      <c r="A1242" s="235"/>
      <c r="B1242" s="9"/>
      <c r="C1242" s="7" t="s">
        <v>594</v>
      </c>
      <c r="D1242" s="17"/>
      <c r="E1242" s="218"/>
      <c r="F1242" s="218"/>
      <c r="G1242" s="218">
        <v>5.05</v>
      </c>
      <c r="H1242" s="218"/>
      <c r="I1242" s="218">
        <v>1</v>
      </c>
      <c r="J1242" s="43">
        <f>G1242*I1242</f>
        <v>5.05</v>
      </c>
      <c r="K1242" s="218"/>
      <c r="L1242" s="218"/>
      <c r="M1242" s="273"/>
    </row>
    <row r="1243" spans="1:13" x14ac:dyDescent="0.2">
      <c r="A1243" s="235"/>
      <c r="B1243" s="9"/>
      <c r="C1243" s="7" t="s">
        <v>592</v>
      </c>
      <c r="D1243" s="17"/>
      <c r="E1243" s="218"/>
      <c r="F1243" s="218"/>
      <c r="G1243" s="218"/>
      <c r="H1243" s="218"/>
      <c r="I1243" s="218"/>
      <c r="J1243" s="43">
        <v>-0.42</v>
      </c>
      <c r="K1243" s="218"/>
      <c r="L1243" s="218"/>
      <c r="M1243" s="273"/>
    </row>
    <row r="1244" spans="1:13" x14ac:dyDescent="0.2">
      <c r="A1244" s="235"/>
      <c r="B1244" s="9"/>
      <c r="C1244" s="7" t="s">
        <v>593</v>
      </c>
      <c r="D1244" s="17"/>
      <c r="E1244" s="218"/>
      <c r="F1244" s="218"/>
      <c r="G1244" s="218"/>
      <c r="H1244" s="218"/>
      <c r="I1244" s="218"/>
      <c r="J1244" s="43">
        <v>-0.36</v>
      </c>
      <c r="K1244" s="218"/>
      <c r="L1244" s="218"/>
      <c r="M1244" s="273">
        <f>SUM(J1242:J1244)</f>
        <v>4.2699999999999996</v>
      </c>
    </row>
    <row r="1245" spans="1:13" x14ac:dyDescent="0.2">
      <c r="A1245" s="235"/>
      <c r="B1245" s="9"/>
      <c r="C1245" s="7"/>
      <c r="D1245" s="17"/>
      <c r="E1245" s="218"/>
      <c r="F1245" s="218"/>
      <c r="G1245" s="218"/>
      <c r="H1245" s="218"/>
      <c r="I1245" s="218"/>
      <c r="J1245" s="43"/>
      <c r="K1245" s="218"/>
      <c r="L1245" s="218"/>
      <c r="M1245" s="273"/>
    </row>
    <row r="1246" spans="1:13" x14ac:dyDescent="0.2">
      <c r="A1246" s="235"/>
      <c r="B1246" s="9"/>
      <c r="C1246" s="7" t="s">
        <v>533</v>
      </c>
      <c r="D1246" s="17"/>
      <c r="E1246" s="218"/>
      <c r="F1246" s="218">
        <v>1.4</v>
      </c>
      <c r="G1246" s="218"/>
      <c r="H1246" s="218">
        <v>1.1499999999999999</v>
      </c>
      <c r="I1246" s="218"/>
      <c r="J1246" s="43"/>
      <c r="K1246" s="218">
        <f>F1246*H1246</f>
        <v>1.6099999999999999</v>
      </c>
      <c r="L1246" s="218"/>
      <c r="M1246" s="273"/>
    </row>
    <row r="1247" spans="1:13" x14ac:dyDescent="0.2">
      <c r="A1247" s="235"/>
      <c r="B1247" s="9"/>
      <c r="C1247" s="7"/>
      <c r="D1247" s="17"/>
      <c r="E1247" s="218"/>
      <c r="F1247" s="218"/>
      <c r="G1247" s="218"/>
      <c r="H1247" s="218"/>
      <c r="I1247" s="218"/>
      <c r="J1247" s="43"/>
      <c r="K1247" s="218"/>
      <c r="L1247" s="218"/>
      <c r="M1247" s="273"/>
    </row>
    <row r="1248" spans="1:13" x14ac:dyDescent="0.2">
      <c r="A1248" s="235"/>
      <c r="B1248" s="9"/>
      <c r="C1248" s="7" t="s">
        <v>595</v>
      </c>
      <c r="D1248" s="17"/>
      <c r="E1248" s="218"/>
      <c r="F1248" s="218"/>
      <c r="G1248" s="218"/>
      <c r="H1248" s="218"/>
      <c r="I1248" s="218"/>
      <c r="J1248" s="43"/>
      <c r="K1248" s="218"/>
      <c r="L1248" s="218"/>
      <c r="M1248" s="273"/>
    </row>
    <row r="1249" spans="1:13" x14ac:dyDescent="0.2">
      <c r="A1249" s="235"/>
      <c r="B1249" s="9"/>
      <c r="C1249" s="7" t="s">
        <v>596</v>
      </c>
      <c r="D1249" s="17"/>
      <c r="E1249" s="218"/>
      <c r="F1249" s="218"/>
      <c r="G1249" s="218">
        <v>6.2</v>
      </c>
      <c r="H1249" s="218"/>
      <c r="I1249" s="218">
        <v>1</v>
      </c>
      <c r="J1249" s="45">
        <f>G1249*I1249</f>
        <v>6.2</v>
      </c>
      <c r="K1249" s="218"/>
      <c r="L1249" s="218"/>
      <c r="M1249" s="273"/>
    </row>
    <row r="1250" spans="1:13" x14ac:dyDescent="0.2">
      <c r="A1250" s="235"/>
      <c r="B1250" s="9"/>
      <c r="C1250" s="7" t="s">
        <v>597</v>
      </c>
      <c r="D1250" s="17"/>
      <c r="E1250" s="218"/>
      <c r="F1250" s="218"/>
      <c r="G1250" s="218"/>
      <c r="H1250" s="218"/>
      <c r="I1250" s="139"/>
      <c r="J1250" s="44">
        <v>-0.42</v>
      </c>
      <c r="K1250" s="218"/>
      <c r="L1250" s="218"/>
      <c r="M1250" s="273"/>
    </row>
    <row r="1251" spans="1:13" x14ac:dyDescent="0.2">
      <c r="A1251" s="235"/>
      <c r="B1251" s="9"/>
      <c r="C1251" s="7" t="s">
        <v>586</v>
      </c>
      <c r="D1251" s="17"/>
      <c r="E1251" s="218"/>
      <c r="F1251" s="218"/>
      <c r="G1251" s="218"/>
      <c r="H1251" s="218"/>
      <c r="I1251" s="139"/>
      <c r="J1251" s="44">
        <v>-0.36</v>
      </c>
      <c r="K1251" s="218"/>
      <c r="L1251" s="218"/>
      <c r="M1251" s="273">
        <f>SUM(I1249:I1251)</f>
        <v>1</v>
      </c>
    </row>
    <row r="1252" spans="1:13" x14ac:dyDescent="0.2">
      <c r="A1252" s="235"/>
      <c r="B1252" s="9"/>
      <c r="C1252" s="7"/>
      <c r="D1252" s="17"/>
      <c r="E1252" s="218"/>
      <c r="F1252" s="218"/>
      <c r="G1252" s="218"/>
      <c r="H1252" s="218"/>
      <c r="I1252" s="218"/>
      <c r="J1252" s="43"/>
      <c r="K1252" s="218"/>
      <c r="L1252" s="218"/>
      <c r="M1252" s="273"/>
    </row>
    <row r="1253" spans="1:13" x14ac:dyDescent="0.2">
      <c r="A1253" s="235"/>
      <c r="B1253" s="9"/>
      <c r="C1253" s="7" t="s">
        <v>533</v>
      </c>
      <c r="D1253" s="17"/>
      <c r="E1253" s="218"/>
      <c r="F1253" s="218">
        <v>1.8</v>
      </c>
      <c r="G1253" s="218"/>
      <c r="H1253" s="218">
        <v>1.3</v>
      </c>
      <c r="I1253" s="218"/>
      <c r="J1253" s="43"/>
      <c r="K1253" s="218">
        <f>F1253*H1253</f>
        <v>2.3400000000000003</v>
      </c>
      <c r="L1253" s="218"/>
      <c r="M1253" s="273"/>
    </row>
    <row r="1254" spans="1:13" x14ac:dyDescent="0.2">
      <c r="A1254" s="235"/>
      <c r="B1254" s="9"/>
      <c r="C1254" s="7"/>
      <c r="D1254" s="17"/>
      <c r="E1254" s="218"/>
      <c r="F1254" s="218"/>
      <c r="G1254" s="218"/>
      <c r="H1254" s="218"/>
      <c r="I1254" s="218"/>
      <c r="J1254" s="43"/>
      <c r="K1254" s="218"/>
      <c r="L1254" s="218"/>
      <c r="M1254" s="273"/>
    </row>
    <row r="1255" spans="1:13" x14ac:dyDescent="0.2">
      <c r="A1255" s="235"/>
      <c r="B1255" s="9"/>
      <c r="C1255" s="7" t="s">
        <v>598</v>
      </c>
      <c r="D1255" s="17"/>
      <c r="E1255" s="218"/>
      <c r="F1255" s="218"/>
      <c r="G1255" s="218"/>
      <c r="H1255" s="218"/>
      <c r="I1255" s="218"/>
      <c r="J1255" s="43"/>
      <c r="K1255" s="218"/>
      <c r="L1255" s="218"/>
      <c r="M1255" s="273"/>
    </row>
    <row r="1256" spans="1:13" x14ac:dyDescent="0.2">
      <c r="A1256" s="235"/>
      <c r="B1256" s="9"/>
      <c r="C1256" s="7"/>
      <c r="D1256" s="17"/>
      <c r="E1256" s="218"/>
      <c r="F1256" s="218"/>
      <c r="G1256" s="218"/>
      <c r="H1256" s="218"/>
      <c r="I1256" s="218"/>
      <c r="J1256" s="43"/>
      <c r="K1256" s="218"/>
      <c r="L1256" s="218"/>
      <c r="M1256" s="273"/>
    </row>
    <row r="1257" spans="1:13" x14ac:dyDescent="0.2">
      <c r="A1257" s="235"/>
      <c r="B1257" s="9"/>
      <c r="C1257" s="7" t="s">
        <v>599</v>
      </c>
      <c r="D1257" s="17"/>
      <c r="E1257" s="218">
        <v>2</v>
      </c>
      <c r="F1257" s="218"/>
      <c r="G1257" s="218">
        <v>9.4</v>
      </c>
      <c r="H1257" s="218"/>
      <c r="I1257" s="218">
        <v>1.4</v>
      </c>
      <c r="J1257" s="43">
        <f>E1257*G1257*I1257</f>
        <v>26.32</v>
      </c>
      <c r="K1257" s="218"/>
      <c r="L1257" s="218"/>
      <c r="M1257" s="273"/>
    </row>
    <row r="1258" spans="1:13" x14ac:dyDescent="0.2">
      <c r="A1258" s="235"/>
      <c r="B1258" s="9"/>
      <c r="C1258" s="7" t="s">
        <v>600</v>
      </c>
      <c r="D1258" s="17"/>
      <c r="E1258" s="218">
        <v>2</v>
      </c>
      <c r="F1258" s="218"/>
      <c r="G1258" s="218">
        <v>0.6</v>
      </c>
      <c r="H1258" s="218"/>
      <c r="I1258" s="218">
        <v>-0.7</v>
      </c>
      <c r="J1258" s="43">
        <f>E1258*G1258*I1258</f>
        <v>-0.84</v>
      </c>
      <c r="K1258" s="218"/>
      <c r="L1258" s="218"/>
      <c r="M1258" s="273"/>
    </row>
    <row r="1259" spans="1:13" x14ac:dyDescent="0.2">
      <c r="A1259" s="235"/>
      <c r="B1259" s="9"/>
      <c r="C1259" s="7" t="s">
        <v>601</v>
      </c>
      <c r="D1259" s="17"/>
      <c r="E1259" s="218">
        <v>2</v>
      </c>
      <c r="F1259" s="218"/>
      <c r="G1259" s="218">
        <v>1</v>
      </c>
      <c r="H1259" s="218"/>
      <c r="I1259" s="218">
        <v>-0.6</v>
      </c>
      <c r="J1259" s="43">
        <f>E1259*G1259*I1259</f>
        <v>-1.2</v>
      </c>
      <c r="K1259" s="218"/>
      <c r="L1259" s="218"/>
      <c r="M1259" s="273">
        <f>SUM(J1257:J1259)</f>
        <v>24.28</v>
      </c>
    </row>
    <row r="1260" spans="1:13" x14ac:dyDescent="0.2">
      <c r="A1260" s="235"/>
      <c r="B1260" s="9"/>
      <c r="C1260" s="7"/>
      <c r="D1260" s="17"/>
      <c r="E1260" s="218"/>
      <c r="F1260" s="218"/>
      <c r="G1260" s="218"/>
      <c r="H1260" s="218"/>
      <c r="I1260" s="218"/>
      <c r="J1260" s="43"/>
      <c r="K1260" s="218"/>
      <c r="L1260" s="218"/>
      <c r="M1260" s="273"/>
    </row>
    <row r="1261" spans="1:13" x14ac:dyDescent="0.2">
      <c r="A1261" s="235"/>
      <c r="B1261" s="9"/>
      <c r="C1261" s="7" t="s">
        <v>533</v>
      </c>
      <c r="D1261" s="17"/>
      <c r="E1261" s="218">
        <v>2</v>
      </c>
      <c r="F1261" s="218">
        <v>1.85</v>
      </c>
      <c r="G1261" s="218"/>
      <c r="H1261" s="218">
        <v>2.85</v>
      </c>
      <c r="I1261" s="218"/>
      <c r="J1261" s="43"/>
      <c r="K1261" s="218">
        <f>E1261*F1261*H1261</f>
        <v>10.545000000000002</v>
      </c>
      <c r="L1261" s="218"/>
      <c r="M1261" s="273"/>
    </row>
    <row r="1262" spans="1:13" x14ac:dyDescent="0.2">
      <c r="A1262" s="235"/>
      <c r="B1262" s="9"/>
      <c r="C1262" s="7"/>
      <c r="D1262" s="17"/>
      <c r="E1262" s="218"/>
      <c r="F1262" s="218"/>
      <c r="G1262" s="218"/>
      <c r="H1262" s="218"/>
      <c r="I1262" s="218"/>
      <c r="J1262" s="43"/>
      <c r="K1262" s="218"/>
      <c r="L1262" s="218"/>
      <c r="M1262" s="273"/>
    </row>
    <row r="1263" spans="1:13" x14ac:dyDescent="0.2">
      <c r="A1263" s="235"/>
      <c r="B1263" s="9"/>
      <c r="C1263" s="7" t="s">
        <v>602</v>
      </c>
      <c r="D1263" s="17"/>
      <c r="E1263" s="218"/>
      <c r="F1263" s="218"/>
      <c r="G1263" s="218"/>
      <c r="H1263" s="218"/>
      <c r="I1263" s="218"/>
      <c r="J1263" s="43"/>
      <c r="K1263" s="218"/>
      <c r="L1263" s="218"/>
      <c r="M1263" s="273"/>
    </row>
    <row r="1264" spans="1:13" x14ac:dyDescent="0.2">
      <c r="A1264" s="235"/>
      <c r="B1264" s="9"/>
      <c r="C1264" s="7" t="s">
        <v>603</v>
      </c>
      <c r="D1264" s="17"/>
      <c r="E1264" s="218"/>
      <c r="F1264" s="218"/>
      <c r="G1264" s="218"/>
      <c r="H1264" s="218"/>
      <c r="I1264" s="218"/>
      <c r="J1264" s="43"/>
      <c r="K1264" s="218"/>
      <c r="L1264" s="218"/>
      <c r="M1264" s="273"/>
    </row>
    <row r="1265" spans="1:13" x14ac:dyDescent="0.2">
      <c r="A1265" s="235"/>
      <c r="B1265" s="9"/>
      <c r="C1265" s="7"/>
      <c r="D1265" s="17"/>
      <c r="E1265" s="218"/>
      <c r="F1265" s="218"/>
      <c r="G1265" s="218"/>
      <c r="H1265" s="218"/>
      <c r="I1265" s="218"/>
      <c r="J1265" s="43"/>
      <c r="K1265" s="218"/>
      <c r="L1265" s="218"/>
      <c r="M1265" s="273"/>
    </row>
    <row r="1266" spans="1:13" x14ac:dyDescent="0.2">
      <c r="A1266" s="235"/>
      <c r="B1266" s="9"/>
      <c r="C1266" s="7" t="s">
        <v>604</v>
      </c>
      <c r="D1266" s="17"/>
      <c r="E1266" s="218"/>
      <c r="F1266" s="218"/>
      <c r="G1266" s="218"/>
      <c r="H1266" s="218"/>
      <c r="I1266" s="218"/>
      <c r="J1266" s="43"/>
      <c r="K1266" s="218"/>
      <c r="L1266" s="218"/>
      <c r="M1266" s="273"/>
    </row>
    <row r="1267" spans="1:13" x14ac:dyDescent="0.2">
      <c r="A1267" s="235"/>
      <c r="B1267" s="9"/>
      <c r="C1267" s="7" t="s">
        <v>605</v>
      </c>
      <c r="D1267" s="17"/>
      <c r="E1267" s="218"/>
      <c r="F1267" s="218"/>
      <c r="G1267" s="218">
        <v>15.95</v>
      </c>
      <c r="H1267" s="218"/>
      <c r="I1267" s="218">
        <v>2.8</v>
      </c>
      <c r="J1267" s="43">
        <f>G1267*I1267</f>
        <v>44.66</v>
      </c>
      <c r="K1267" s="218"/>
      <c r="L1267" s="218"/>
      <c r="M1267" s="273"/>
    </row>
    <row r="1268" spans="1:13" x14ac:dyDescent="0.2">
      <c r="A1268" s="235"/>
      <c r="B1268" s="9"/>
      <c r="C1268" s="7" t="s">
        <v>606</v>
      </c>
      <c r="D1268" s="17"/>
      <c r="E1268" s="218"/>
      <c r="F1268" s="218"/>
      <c r="G1268" s="218"/>
      <c r="H1268" s="218"/>
      <c r="I1268" s="218"/>
      <c r="J1268" s="43">
        <v>-1.68</v>
      </c>
      <c r="K1268" s="218"/>
      <c r="L1268" s="218"/>
      <c r="M1268" s="273"/>
    </row>
    <row r="1269" spans="1:13" x14ac:dyDescent="0.2">
      <c r="A1269" s="235"/>
      <c r="B1269" s="9"/>
      <c r="C1269" s="7" t="s">
        <v>607</v>
      </c>
      <c r="D1269" s="17"/>
      <c r="E1269" s="218"/>
      <c r="F1269" s="218"/>
      <c r="G1269" s="218"/>
      <c r="H1269" s="218"/>
      <c r="I1269" s="218"/>
      <c r="J1269" s="43">
        <v>-0.36</v>
      </c>
      <c r="K1269" s="218"/>
      <c r="L1269" s="218"/>
      <c r="M1269" s="273"/>
    </row>
    <row r="1270" spans="1:13" x14ac:dyDescent="0.2">
      <c r="A1270" s="235"/>
      <c r="B1270" s="9"/>
      <c r="C1270" s="7" t="s">
        <v>608</v>
      </c>
      <c r="D1270" s="17"/>
      <c r="E1270" s="218"/>
      <c r="F1270" s="218"/>
      <c r="G1270" s="218"/>
      <c r="H1270" s="218"/>
      <c r="I1270" s="218"/>
      <c r="J1270" s="43">
        <v>-3.68</v>
      </c>
      <c r="K1270" s="218"/>
      <c r="L1270" s="218"/>
      <c r="M1270" s="273"/>
    </row>
    <row r="1271" spans="1:13" x14ac:dyDescent="0.2">
      <c r="A1271" s="235"/>
      <c r="B1271" s="9"/>
      <c r="C1271" s="7" t="s">
        <v>609</v>
      </c>
      <c r="D1271" s="17"/>
      <c r="E1271" s="218"/>
      <c r="F1271" s="218"/>
      <c r="G1271" s="218">
        <v>2.5499999999999998</v>
      </c>
      <c r="H1271" s="218"/>
      <c r="I1271" s="218">
        <v>-1.4</v>
      </c>
      <c r="J1271" s="43">
        <f>G1271*I1271</f>
        <v>-3.5699999999999994</v>
      </c>
      <c r="K1271" s="218"/>
      <c r="L1271" s="218"/>
      <c r="M1271" s="273">
        <f>SUM(J1267:J1271)</f>
        <v>35.369999999999997</v>
      </c>
    </row>
    <row r="1272" spans="1:13" x14ac:dyDescent="0.2">
      <c r="A1272" s="235"/>
      <c r="B1272" s="9"/>
      <c r="C1272" s="7"/>
      <c r="D1272" s="17"/>
      <c r="E1272" s="218"/>
      <c r="F1272" s="218"/>
      <c r="G1272" s="218"/>
      <c r="H1272" s="218"/>
      <c r="I1272" s="218"/>
      <c r="J1272" s="43"/>
      <c r="K1272" s="218"/>
      <c r="L1272" s="218"/>
      <c r="M1272" s="273"/>
    </row>
    <row r="1273" spans="1:13" x14ac:dyDescent="0.2">
      <c r="A1273" s="235"/>
      <c r="B1273" s="9"/>
      <c r="C1273" s="7" t="s">
        <v>533</v>
      </c>
      <c r="D1273" s="17"/>
      <c r="E1273" s="218"/>
      <c r="F1273" s="218"/>
      <c r="G1273" s="218"/>
      <c r="H1273" s="218"/>
      <c r="I1273" s="218"/>
      <c r="J1273" s="43"/>
      <c r="K1273" s="218">
        <v>17.07</v>
      </c>
      <c r="L1273" s="218"/>
      <c r="M1273" s="273"/>
    </row>
    <row r="1274" spans="1:13" x14ac:dyDescent="0.2">
      <c r="A1274" s="235"/>
      <c r="B1274" s="9"/>
      <c r="C1274" s="7"/>
      <c r="D1274" s="17"/>
      <c r="E1274" s="218"/>
      <c r="F1274" s="218"/>
      <c r="G1274" s="218"/>
      <c r="H1274" s="218"/>
      <c r="I1274" s="218"/>
      <c r="J1274" s="43"/>
      <c r="K1274" s="218"/>
      <c r="L1274" s="218"/>
      <c r="M1274" s="273"/>
    </row>
    <row r="1275" spans="1:13" x14ac:dyDescent="0.2">
      <c r="A1275" s="235"/>
      <c r="B1275" s="9"/>
      <c r="C1275" s="7"/>
      <c r="D1275" s="17"/>
      <c r="E1275" s="218"/>
      <c r="F1275" s="218"/>
      <c r="G1275" s="414" t="s">
        <v>610</v>
      </c>
      <c r="H1275" s="412" t="s">
        <v>533</v>
      </c>
      <c r="I1275" s="413"/>
      <c r="J1275" s="43">
        <f>SUM(K1225:K1273)</f>
        <v>39.864400000000003</v>
      </c>
      <c r="K1275" s="218"/>
      <c r="L1275" s="218"/>
      <c r="M1275" s="273"/>
    </row>
    <row r="1276" spans="1:13" x14ac:dyDescent="0.2">
      <c r="A1276" s="235"/>
      <c r="B1276" s="9"/>
      <c r="C1276" s="7"/>
      <c r="D1276" s="17"/>
      <c r="E1276" s="218"/>
      <c r="F1276" s="218"/>
      <c r="G1276" s="415"/>
      <c r="H1276" s="412" t="s">
        <v>534</v>
      </c>
      <c r="I1276" s="413"/>
      <c r="J1276" s="43">
        <f>SUM(M1223:M1271)</f>
        <v>86.68</v>
      </c>
      <c r="K1276" s="218"/>
      <c r="L1276" s="218"/>
      <c r="M1276" s="273"/>
    </row>
    <row r="1277" spans="1:13" x14ac:dyDescent="0.2">
      <c r="A1277" s="235"/>
      <c r="B1277" s="9"/>
      <c r="C1277" s="7"/>
      <c r="D1277" s="17"/>
      <c r="E1277" s="218"/>
      <c r="F1277" s="218"/>
      <c r="G1277" s="218"/>
      <c r="H1277" s="218"/>
      <c r="I1277" s="218"/>
      <c r="J1277" s="43"/>
      <c r="K1277" s="218"/>
      <c r="L1277" s="218"/>
      <c r="M1277" s="273"/>
    </row>
    <row r="1278" spans="1:13" x14ac:dyDescent="0.2">
      <c r="A1278" s="235"/>
      <c r="B1278" s="9"/>
      <c r="C1278" s="7"/>
      <c r="D1278" s="17"/>
      <c r="E1278" s="218"/>
      <c r="F1278" s="218"/>
      <c r="G1278" s="218"/>
      <c r="H1278" s="218"/>
      <c r="I1278" s="218"/>
      <c r="J1278" s="43"/>
      <c r="K1278" s="218"/>
      <c r="L1278" s="218"/>
      <c r="M1278" s="273"/>
    </row>
    <row r="1279" spans="1:13" ht="48" x14ac:dyDescent="0.2">
      <c r="A1279" s="231" t="s">
        <v>136</v>
      </c>
      <c r="B1279" s="9" t="s">
        <v>378</v>
      </c>
      <c r="C1279" s="7" t="s">
        <v>293</v>
      </c>
      <c r="D1279" s="17" t="s">
        <v>17</v>
      </c>
      <c r="E1279" s="218"/>
      <c r="F1279" s="218"/>
      <c r="G1279" s="218"/>
      <c r="H1279" s="218"/>
      <c r="I1279" s="218"/>
      <c r="J1279" s="218"/>
      <c r="K1279" s="218"/>
      <c r="L1279" s="218"/>
      <c r="M1279" s="272">
        <f>SUM(M1280)</f>
        <v>189.30650000000009</v>
      </c>
    </row>
    <row r="1280" spans="1:13" x14ac:dyDescent="0.2">
      <c r="A1280" s="231"/>
      <c r="B1280" s="9"/>
      <c r="C1280" s="7" t="s">
        <v>677</v>
      </c>
      <c r="D1280" s="17"/>
      <c r="E1280" s="218"/>
      <c r="F1280" s="218"/>
      <c r="G1280" s="218"/>
      <c r="H1280" s="218"/>
      <c r="I1280" s="218"/>
      <c r="J1280" s="218"/>
      <c r="K1280" s="218"/>
      <c r="L1280" s="218"/>
      <c r="M1280" s="277">
        <f>M431</f>
        <v>189.30650000000009</v>
      </c>
    </row>
    <row r="1281" spans="1:13" x14ac:dyDescent="0.2">
      <c r="A1281" s="231"/>
      <c r="B1281" s="9"/>
      <c r="C1281" s="7"/>
      <c r="D1281" s="17"/>
      <c r="E1281" s="218"/>
      <c r="F1281" s="218"/>
      <c r="G1281" s="218"/>
      <c r="H1281" s="218"/>
      <c r="I1281" s="218"/>
      <c r="J1281" s="218"/>
      <c r="K1281" s="218"/>
      <c r="L1281" s="218"/>
      <c r="M1281" s="277"/>
    </row>
    <row r="1282" spans="1:13" x14ac:dyDescent="0.2">
      <c r="A1282" s="231"/>
      <c r="B1282" s="9"/>
      <c r="C1282" s="7"/>
      <c r="D1282" s="17"/>
      <c r="E1282" s="218"/>
      <c r="F1282" s="218"/>
      <c r="G1282" s="218"/>
      <c r="H1282" s="218"/>
      <c r="I1282" s="218"/>
      <c r="J1282" s="218"/>
      <c r="K1282" s="218"/>
      <c r="L1282" s="218"/>
      <c r="M1282" s="277"/>
    </row>
    <row r="1283" spans="1:13" ht="84" x14ac:dyDescent="0.2">
      <c r="A1283" s="231" t="s">
        <v>137</v>
      </c>
      <c r="B1283" s="9" t="s">
        <v>379</v>
      </c>
      <c r="C1283" s="7" t="s">
        <v>294</v>
      </c>
      <c r="D1283" s="17" t="s">
        <v>17</v>
      </c>
      <c r="E1283" s="218"/>
      <c r="F1283" s="218"/>
      <c r="G1283" s="218"/>
      <c r="H1283" s="218"/>
      <c r="I1283" s="218"/>
      <c r="J1283" s="218"/>
      <c r="K1283" s="218"/>
      <c r="L1283" s="218"/>
      <c r="M1283" s="272">
        <f>SUM(M1284)</f>
        <v>189.30650000000009</v>
      </c>
    </row>
    <row r="1284" spans="1:13" x14ac:dyDescent="0.2">
      <c r="A1284" s="235"/>
      <c r="B1284" s="9"/>
      <c r="C1284" s="7" t="s">
        <v>677</v>
      </c>
      <c r="D1284" s="17"/>
      <c r="E1284" s="218"/>
      <c r="F1284" s="218"/>
      <c r="G1284" s="218"/>
      <c r="H1284" s="218"/>
      <c r="I1284" s="218"/>
      <c r="J1284" s="218"/>
      <c r="K1284" s="218"/>
      <c r="L1284" s="218"/>
      <c r="M1284" s="277">
        <f>M1280</f>
        <v>189.30650000000009</v>
      </c>
    </row>
    <row r="1285" spans="1:13" x14ac:dyDescent="0.2">
      <c r="A1285" s="235"/>
      <c r="B1285" s="9"/>
      <c r="C1285" s="7"/>
      <c r="D1285" s="17"/>
      <c r="E1285" s="218"/>
      <c r="F1285" s="218"/>
      <c r="G1285" s="218"/>
      <c r="H1285" s="218"/>
      <c r="I1285" s="218"/>
      <c r="J1285" s="43"/>
      <c r="K1285" s="218"/>
      <c r="L1285" s="218"/>
      <c r="M1285" s="273"/>
    </row>
    <row r="1286" spans="1:13" x14ac:dyDescent="0.2">
      <c r="A1286" s="235"/>
      <c r="B1286" s="9"/>
      <c r="C1286" s="7"/>
      <c r="D1286" s="17"/>
      <c r="E1286" s="218"/>
      <c r="F1286" s="218"/>
      <c r="G1286" s="218"/>
      <c r="H1286" s="218"/>
      <c r="I1286" s="218"/>
      <c r="J1286" s="43"/>
      <c r="K1286" s="218"/>
      <c r="L1286" s="218"/>
      <c r="M1286" s="273"/>
    </row>
    <row r="1287" spans="1:13" ht="60" x14ac:dyDescent="0.2">
      <c r="A1287" s="231" t="s">
        <v>134</v>
      </c>
      <c r="B1287" s="9" t="s">
        <v>380</v>
      </c>
      <c r="C1287" s="7" t="s">
        <v>135</v>
      </c>
      <c r="D1287" s="17" t="s">
        <v>17</v>
      </c>
      <c r="E1287" s="218"/>
      <c r="F1287" s="218"/>
      <c r="G1287" s="218"/>
      <c r="H1287" s="218"/>
      <c r="I1287" s="218"/>
      <c r="J1287" s="218"/>
      <c r="K1287" s="218"/>
      <c r="L1287" s="218"/>
      <c r="M1287" s="272">
        <f>SUM(M1288:M1297)</f>
        <v>124.23000000000002</v>
      </c>
    </row>
    <row r="1288" spans="1:13" x14ac:dyDescent="0.2">
      <c r="A1288" s="231"/>
      <c r="B1288" s="9"/>
      <c r="C1288" s="7" t="s">
        <v>630</v>
      </c>
      <c r="D1288" s="17">
        <v>1</v>
      </c>
      <c r="E1288" s="218"/>
      <c r="F1288" s="218">
        <v>3</v>
      </c>
      <c r="G1288" s="218"/>
      <c r="H1288" s="218">
        <v>0.8</v>
      </c>
      <c r="I1288" s="218">
        <v>2.1</v>
      </c>
      <c r="J1288" s="218">
        <f>I1288*H1288*F1288*D1288</f>
        <v>5.0400000000000009</v>
      </c>
      <c r="K1288" s="218"/>
      <c r="L1288" s="218"/>
      <c r="M1288" s="277">
        <f>J1288</f>
        <v>5.0400000000000009</v>
      </c>
    </row>
    <row r="1289" spans="1:13" x14ac:dyDescent="0.2">
      <c r="A1289" s="231"/>
      <c r="B1289" s="9"/>
      <c r="C1289" s="7" t="s">
        <v>631</v>
      </c>
      <c r="D1289" s="17"/>
      <c r="E1289" s="218"/>
      <c r="F1289" s="218"/>
      <c r="G1289" s="218"/>
      <c r="H1289" s="218"/>
      <c r="I1289" s="218"/>
      <c r="J1289" s="218"/>
      <c r="K1289" s="218"/>
      <c r="L1289" s="218"/>
      <c r="M1289" s="277"/>
    </row>
    <row r="1290" spans="1:13" x14ac:dyDescent="0.2">
      <c r="A1290" s="231"/>
      <c r="B1290" s="9"/>
      <c r="C1290" s="7" t="s">
        <v>632</v>
      </c>
      <c r="D1290" s="17">
        <v>3</v>
      </c>
      <c r="E1290" s="218"/>
      <c r="F1290" s="218">
        <v>1</v>
      </c>
      <c r="G1290" s="218"/>
      <c r="H1290" s="218">
        <v>12.8</v>
      </c>
      <c r="I1290" s="218">
        <v>0.8</v>
      </c>
      <c r="J1290" s="218">
        <f>I1290*H1290*F1290*D1290</f>
        <v>30.720000000000006</v>
      </c>
      <c r="K1290" s="218"/>
      <c r="L1290" s="218"/>
      <c r="M1290" s="277">
        <f>J1290</f>
        <v>30.720000000000006</v>
      </c>
    </row>
    <row r="1291" spans="1:13" x14ac:dyDescent="0.2">
      <c r="A1291" s="231"/>
      <c r="B1291" s="9"/>
      <c r="C1291" s="7" t="s">
        <v>633</v>
      </c>
      <c r="D1291" s="17">
        <v>3</v>
      </c>
      <c r="E1291" s="218"/>
      <c r="F1291" s="218">
        <v>1</v>
      </c>
      <c r="G1291" s="218"/>
      <c r="H1291" s="218">
        <v>5.8</v>
      </c>
      <c r="I1291" s="218">
        <v>0.8</v>
      </c>
      <c r="J1291" s="218">
        <f>I1291*H1291*F1291*D1291</f>
        <v>13.919999999999998</v>
      </c>
      <c r="K1291" s="218"/>
      <c r="L1291" s="218"/>
      <c r="M1291" s="277">
        <f>J1291</f>
        <v>13.919999999999998</v>
      </c>
    </row>
    <row r="1292" spans="1:13" x14ac:dyDescent="0.2">
      <c r="A1292" s="231"/>
      <c r="B1292" s="9"/>
      <c r="C1292" s="7" t="s">
        <v>634</v>
      </c>
      <c r="D1292" s="17"/>
      <c r="E1292" s="218"/>
      <c r="F1292" s="218"/>
      <c r="G1292" s="218"/>
      <c r="H1292" s="218"/>
      <c r="I1292" s="218"/>
      <c r="J1292" s="218"/>
      <c r="K1292" s="218"/>
      <c r="L1292" s="218"/>
      <c r="M1292" s="277"/>
    </row>
    <row r="1293" spans="1:13" x14ac:dyDescent="0.2">
      <c r="A1293" s="231"/>
      <c r="B1293" s="9"/>
      <c r="C1293" s="7" t="s">
        <v>635</v>
      </c>
      <c r="D1293" s="17">
        <v>1</v>
      </c>
      <c r="E1293" s="218"/>
      <c r="F1293" s="218">
        <v>1</v>
      </c>
      <c r="G1293" s="218"/>
      <c r="H1293" s="218">
        <v>9.5500000000000007</v>
      </c>
      <c r="I1293" s="218">
        <v>5.4</v>
      </c>
      <c r="J1293" s="218">
        <f>I1293*H1293*F1293*D1293</f>
        <v>51.570000000000007</v>
      </c>
      <c r="K1293" s="218"/>
      <c r="L1293" s="218"/>
      <c r="M1293" s="277">
        <f>J1293</f>
        <v>51.570000000000007</v>
      </c>
    </row>
    <row r="1294" spans="1:13" x14ac:dyDescent="0.2">
      <c r="A1294" s="231"/>
      <c r="B1294" s="9"/>
      <c r="C1294" s="7" t="s">
        <v>636</v>
      </c>
      <c r="D1294" s="17"/>
      <c r="E1294" s="218"/>
      <c r="F1294" s="218"/>
      <c r="G1294" s="218"/>
      <c r="H1294" s="218"/>
      <c r="I1294" s="218"/>
      <c r="J1294" s="218"/>
      <c r="K1294" s="218"/>
      <c r="L1294" s="218"/>
      <c r="M1294" s="277"/>
    </row>
    <row r="1295" spans="1:13" x14ac:dyDescent="0.2">
      <c r="A1295" s="231"/>
      <c r="B1295" s="9"/>
      <c r="C1295" s="7" t="s">
        <v>637</v>
      </c>
      <c r="D1295" s="17">
        <v>1</v>
      </c>
      <c r="E1295" s="218"/>
      <c r="F1295" s="218">
        <v>1</v>
      </c>
      <c r="G1295" s="218"/>
      <c r="H1295" s="218">
        <v>10.5</v>
      </c>
      <c r="I1295" s="218">
        <v>1</v>
      </c>
      <c r="J1295" s="218">
        <f>I1295*H1295*F1295*D1295</f>
        <v>10.5</v>
      </c>
      <c r="K1295" s="218"/>
      <c r="L1295" s="218"/>
      <c r="M1295" s="277">
        <f>J1295</f>
        <v>10.5</v>
      </c>
    </row>
    <row r="1296" spans="1:13" x14ac:dyDescent="0.2">
      <c r="A1296" s="231"/>
      <c r="B1296" s="9"/>
      <c r="C1296" s="7" t="s">
        <v>638</v>
      </c>
      <c r="D1296" s="17"/>
      <c r="E1296" s="218"/>
      <c r="F1296" s="218"/>
      <c r="G1296" s="218"/>
      <c r="H1296" s="218"/>
      <c r="I1296" s="218"/>
      <c r="J1296" s="218"/>
      <c r="K1296" s="218"/>
      <c r="L1296" s="218"/>
      <c r="M1296" s="277"/>
    </row>
    <row r="1297" spans="1:13" x14ac:dyDescent="0.2">
      <c r="A1297" s="231"/>
      <c r="B1297" s="9"/>
      <c r="C1297" s="7" t="s">
        <v>639</v>
      </c>
      <c r="D1297" s="17">
        <v>2</v>
      </c>
      <c r="E1297" s="218"/>
      <c r="F1297" s="218">
        <v>2</v>
      </c>
      <c r="G1297" s="218"/>
      <c r="H1297" s="218">
        <v>1.2</v>
      </c>
      <c r="I1297" s="218">
        <v>2.6</v>
      </c>
      <c r="J1297" s="218">
        <f>I1297*H1297*F1297*D1297</f>
        <v>12.48</v>
      </c>
      <c r="K1297" s="218"/>
      <c r="L1297" s="218"/>
      <c r="M1297" s="277">
        <f>J1297</f>
        <v>12.48</v>
      </c>
    </row>
    <row r="1298" spans="1:13" x14ac:dyDescent="0.2">
      <c r="A1298" s="231"/>
      <c r="B1298" s="9"/>
      <c r="C1298" s="7"/>
      <c r="D1298" s="17"/>
      <c r="E1298" s="218"/>
      <c r="F1298" s="218"/>
      <c r="G1298" s="218"/>
      <c r="H1298" s="218"/>
      <c r="I1298" s="218"/>
      <c r="J1298" s="218"/>
      <c r="K1298" s="218"/>
      <c r="L1298" s="218"/>
      <c r="M1298" s="277"/>
    </row>
    <row r="1299" spans="1:13" x14ac:dyDescent="0.2">
      <c r="A1299" s="231"/>
      <c r="B1299" s="9"/>
      <c r="C1299" s="7"/>
      <c r="D1299" s="17"/>
      <c r="E1299" s="218"/>
      <c r="F1299" s="218"/>
      <c r="G1299" s="218"/>
      <c r="H1299" s="218"/>
      <c r="I1299" s="218"/>
      <c r="J1299" s="218"/>
      <c r="K1299" s="218"/>
      <c r="L1299" s="218"/>
      <c r="M1299" s="277"/>
    </row>
    <row r="1300" spans="1:13" x14ac:dyDescent="0.2">
      <c r="A1300" s="235"/>
      <c r="B1300" s="9"/>
      <c r="C1300" s="7"/>
      <c r="D1300" s="17"/>
      <c r="E1300" s="218"/>
      <c r="F1300" s="218"/>
      <c r="G1300" s="218"/>
      <c r="H1300" s="218"/>
      <c r="I1300" s="218"/>
      <c r="J1300" s="218"/>
      <c r="K1300" s="218"/>
      <c r="L1300" s="218"/>
      <c r="M1300" s="273"/>
    </row>
    <row r="1301" spans="1:13" x14ac:dyDescent="0.2">
      <c r="A1301" s="235"/>
      <c r="B1301" s="9"/>
      <c r="C1301" s="7"/>
      <c r="D1301" s="17"/>
      <c r="E1301" s="218"/>
      <c r="F1301" s="218"/>
      <c r="G1301" s="218"/>
      <c r="H1301" s="218"/>
      <c r="I1301" s="218"/>
      <c r="J1301" s="218"/>
      <c r="K1301" s="218"/>
      <c r="L1301" s="218"/>
      <c r="M1301" s="273"/>
    </row>
    <row r="1302" spans="1:13" ht="48" x14ac:dyDescent="0.2">
      <c r="A1302" s="231" t="s">
        <v>138</v>
      </c>
      <c r="B1302" s="9" t="s">
        <v>381</v>
      </c>
      <c r="C1302" s="7" t="s">
        <v>295</v>
      </c>
      <c r="D1302" s="17" t="s">
        <v>17</v>
      </c>
      <c r="E1302" s="218"/>
      <c r="F1302" s="218"/>
      <c r="G1302" s="218"/>
      <c r="H1302" s="218"/>
      <c r="I1302" s="218"/>
      <c r="J1302" s="218"/>
      <c r="K1302" s="218"/>
      <c r="L1302" s="218"/>
      <c r="M1302" s="272">
        <f>SUM(M1303,M1310,M1319,M1328,M1332)</f>
        <v>333.23000000000008</v>
      </c>
    </row>
    <row r="1303" spans="1:13" x14ac:dyDescent="0.2">
      <c r="A1303" s="231"/>
      <c r="B1303" s="9"/>
      <c r="C1303" s="7" t="s">
        <v>453</v>
      </c>
      <c r="D1303" s="17"/>
      <c r="E1303" s="218"/>
      <c r="F1303" s="218"/>
      <c r="G1303" s="218"/>
      <c r="H1303" s="218"/>
      <c r="I1303" s="218"/>
      <c r="J1303" s="218"/>
      <c r="K1303" s="218"/>
      <c r="L1303" s="218"/>
      <c r="M1303" s="277">
        <f>SUM(J1305:J1308)</f>
        <v>37.200000000000003</v>
      </c>
    </row>
    <row r="1304" spans="1:13" x14ac:dyDescent="0.2">
      <c r="A1304" s="231"/>
      <c r="B1304" s="9"/>
      <c r="C1304" s="7" t="s">
        <v>611</v>
      </c>
      <c r="D1304" s="17"/>
      <c r="E1304" s="218"/>
      <c r="F1304" s="218"/>
      <c r="G1304" s="218"/>
      <c r="H1304" s="218"/>
      <c r="I1304" s="139"/>
      <c r="J1304" s="218"/>
      <c r="K1304" s="218"/>
      <c r="L1304" s="218"/>
      <c r="M1304" s="277"/>
    </row>
    <row r="1305" spans="1:13" x14ac:dyDescent="0.2">
      <c r="A1305" s="231"/>
      <c r="B1305" s="9"/>
      <c r="C1305" s="7" t="s">
        <v>612</v>
      </c>
      <c r="D1305" s="17">
        <v>1</v>
      </c>
      <c r="E1305" s="218"/>
      <c r="F1305" s="218">
        <v>3</v>
      </c>
      <c r="G1305" s="218"/>
      <c r="H1305" s="218">
        <v>2.2000000000000002</v>
      </c>
      <c r="I1305" s="218">
        <v>1.6</v>
      </c>
      <c r="J1305" s="218">
        <f>I1305*H1305*F1305*D1305</f>
        <v>10.560000000000002</v>
      </c>
      <c r="K1305" s="218"/>
      <c r="L1305" s="218"/>
      <c r="M1305" s="277"/>
    </row>
    <row r="1306" spans="1:13" x14ac:dyDescent="0.2">
      <c r="A1306" s="231"/>
      <c r="B1306" s="9"/>
      <c r="C1306" s="7" t="s">
        <v>613</v>
      </c>
      <c r="D1306" s="17">
        <v>1</v>
      </c>
      <c r="E1306" s="218"/>
      <c r="F1306" s="218">
        <v>3</v>
      </c>
      <c r="G1306" s="218"/>
      <c r="H1306" s="218">
        <v>2.4</v>
      </c>
      <c r="I1306" s="218">
        <v>1.6</v>
      </c>
      <c r="J1306" s="218">
        <f>I1306*H1306*F1306*D1306</f>
        <v>11.52</v>
      </c>
      <c r="K1306" s="218"/>
      <c r="L1306" s="218"/>
      <c r="M1306" s="277"/>
    </row>
    <row r="1307" spans="1:13" x14ac:dyDescent="0.2">
      <c r="A1307" s="231"/>
      <c r="B1307" s="9"/>
      <c r="C1307" s="7" t="s">
        <v>614</v>
      </c>
      <c r="D1307" s="17">
        <v>1</v>
      </c>
      <c r="E1307" s="218"/>
      <c r="F1307" s="218">
        <v>3</v>
      </c>
      <c r="G1307" s="218"/>
      <c r="H1307" s="218">
        <v>0.8</v>
      </c>
      <c r="I1307" s="218">
        <v>2.1</v>
      </c>
      <c r="J1307" s="218">
        <f>I1307*H1307*F1307*D1307</f>
        <v>5.0400000000000009</v>
      </c>
      <c r="K1307" s="218"/>
      <c r="L1307" s="218"/>
      <c r="M1307" s="277"/>
    </row>
    <row r="1308" spans="1:13" x14ac:dyDescent="0.2">
      <c r="A1308" s="231"/>
      <c r="B1308" s="9"/>
      <c r="C1308" s="7" t="s">
        <v>615</v>
      </c>
      <c r="D1308" s="17">
        <v>1</v>
      </c>
      <c r="E1308" s="218"/>
      <c r="F1308" s="218">
        <v>3</v>
      </c>
      <c r="G1308" s="218"/>
      <c r="H1308" s="218">
        <v>1.6</v>
      </c>
      <c r="I1308" s="218">
        <v>2.1</v>
      </c>
      <c r="J1308" s="218">
        <f>I1308*H1308*F1308*D1308</f>
        <v>10.080000000000002</v>
      </c>
      <c r="K1308" s="218"/>
      <c r="L1308" s="218"/>
      <c r="M1308" s="281"/>
    </row>
    <row r="1309" spans="1:13" x14ac:dyDescent="0.2">
      <c r="A1309" s="231"/>
      <c r="B1309" s="9"/>
      <c r="C1309" s="7"/>
      <c r="D1309" s="17"/>
      <c r="E1309" s="218"/>
      <c r="F1309" s="218"/>
      <c r="G1309" s="218"/>
      <c r="H1309" s="218"/>
      <c r="I1309" s="139"/>
      <c r="J1309" s="218"/>
      <c r="K1309" s="218"/>
      <c r="L1309" s="218"/>
      <c r="M1309" s="281"/>
    </row>
    <row r="1310" spans="1:13" x14ac:dyDescent="0.2">
      <c r="A1310" s="231"/>
      <c r="B1310" s="9"/>
      <c r="C1310" s="7" t="s">
        <v>535</v>
      </c>
      <c r="D1310" s="17"/>
      <c r="E1310" s="218"/>
      <c r="F1310" s="218"/>
      <c r="G1310" s="218"/>
      <c r="H1310" s="218"/>
      <c r="I1310" s="218"/>
      <c r="J1310" s="218"/>
      <c r="K1310" s="218"/>
      <c r="L1310" s="218"/>
      <c r="M1310" s="277">
        <f>SUM(J1312:J1313,J1315:J1316)</f>
        <v>45.000000000000007</v>
      </c>
    </row>
    <row r="1311" spans="1:13" x14ac:dyDescent="0.2">
      <c r="A1311" s="231"/>
      <c r="B1311" s="9"/>
      <c r="C1311" s="7" t="s">
        <v>611</v>
      </c>
      <c r="D1311" s="17"/>
      <c r="E1311" s="218"/>
      <c r="F1311" s="218"/>
      <c r="G1311" s="218"/>
      <c r="H1311" s="218"/>
      <c r="I1311" s="218"/>
      <c r="J1311" s="218"/>
      <c r="K1311" s="218"/>
      <c r="L1311" s="218"/>
      <c r="M1311" s="281"/>
    </row>
    <row r="1312" spans="1:13" x14ac:dyDescent="0.2">
      <c r="A1312" s="231"/>
      <c r="B1312" s="9"/>
      <c r="C1312" s="7" t="s">
        <v>616</v>
      </c>
      <c r="D1312" s="17">
        <v>5</v>
      </c>
      <c r="E1312" s="218"/>
      <c r="F1312" s="218">
        <v>3</v>
      </c>
      <c r="G1312" s="218"/>
      <c r="H1312" s="218">
        <v>0.6</v>
      </c>
      <c r="I1312" s="218">
        <v>0.6</v>
      </c>
      <c r="J1312" s="218">
        <f>I1312*H1312*F1312*D1312</f>
        <v>5.4</v>
      </c>
      <c r="K1312" s="218"/>
      <c r="L1312" s="218"/>
      <c r="M1312" s="281"/>
    </row>
    <row r="1313" spans="1:13" x14ac:dyDescent="0.2">
      <c r="A1313" s="231"/>
      <c r="B1313" s="9"/>
      <c r="C1313" s="7" t="s">
        <v>626</v>
      </c>
      <c r="D1313" s="17">
        <v>1</v>
      </c>
      <c r="E1313" s="218"/>
      <c r="F1313" s="218">
        <v>3</v>
      </c>
      <c r="G1313" s="218"/>
      <c r="H1313" s="218">
        <v>3.6</v>
      </c>
      <c r="I1313" s="218">
        <v>1.8</v>
      </c>
      <c r="J1313" s="218">
        <f>I1313*H1313*F1313*D1313</f>
        <v>19.440000000000001</v>
      </c>
      <c r="K1313" s="218"/>
      <c r="L1313" s="218"/>
      <c r="M1313" s="281"/>
    </row>
    <row r="1314" spans="1:13" x14ac:dyDescent="0.2">
      <c r="A1314" s="231"/>
      <c r="B1314" s="9"/>
      <c r="C1314" s="7" t="s">
        <v>451</v>
      </c>
      <c r="D1314" s="17"/>
      <c r="E1314" s="218"/>
      <c r="F1314" s="218"/>
      <c r="G1314" s="218"/>
      <c r="H1314" s="218"/>
      <c r="I1314" s="218"/>
      <c r="J1314" s="218"/>
      <c r="K1314" s="218"/>
      <c r="L1314" s="218"/>
      <c r="M1314" s="281"/>
    </row>
    <row r="1315" spans="1:13" x14ac:dyDescent="0.2">
      <c r="A1315" s="231"/>
      <c r="B1315" s="9"/>
      <c r="C1315" s="7" t="s">
        <v>617</v>
      </c>
      <c r="D1315" s="17">
        <v>4</v>
      </c>
      <c r="E1315" s="218"/>
      <c r="F1315" s="218">
        <v>3</v>
      </c>
      <c r="G1315" s="218"/>
      <c r="H1315" s="218">
        <v>0.6</v>
      </c>
      <c r="I1315" s="218">
        <v>2.1</v>
      </c>
      <c r="J1315" s="218">
        <f>I1315*H1315*F1315*D1315</f>
        <v>15.120000000000001</v>
      </c>
      <c r="K1315" s="218"/>
      <c r="L1315" s="218"/>
      <c r="M1315" s="281"/>
    </row>
    <row r="1316" spans="1:13" x14ac:dyDescent="0.2">
      <c r="A1316" s="231"/>
      <c r="B1316" s="9"/>
      <c r="C1316" s="7" t="s">
        <v>618</v>
      </c>
      <c r="D1316" s="17">
        <v>1</v>
      </c>
      <c r="E1316" s="218"/>
      <c r="F1316" s="218">
        <v>3</v>
      </c>
      <c r="G1316" s="218"/>
      <c r="H1316" s="218">
        <v>0.8</v>
      </c>
      <c r="I1316" s="218">
        <v>2.1</v>
      </c>
      <c r="J1316" s="218">
        <f>I1316*H1316*F1316*D1316</f>
        <v>5.0400000000000009</v>
      </c>
      <c r="K1316" s="218"/>
      <c r="L1316" s="218"/>
      <c r="M1316" s="281"/>
    </row>
    <row r="1317" spans="1:13" x14ac:dyDescent="0.2">
      <c r="A1317" s="231"/>
      <c r="B1317" s="9"/>
      <c r="C1317" s="7"/>
      <c r="D1317" s="17"/>
      <c r="E1317" s="218"/>
      <c r="F1317" s="218"/>
      <c r="G1317" s="218"/>
      <c r="H1317" s="218"/>
      <c r="I1317" s="218"/>
      <c r="J1317" s="218"/>
      <c r="K1317" s="218"/>
      <c r="L1317" s="218"/>
      <c r="M1317" s="281"/>
    </row>
    <row r="1318" spans="1:13" x14ac:dyDescent="0.2">
      <c r="A1318" s="231"/>
      <c r="B1318" s="9"/>
      <c r="C1318" s="7" t="s">
        <v>536</v>
      </c>
      <c r="D1318" s="17"/>
      <c r="E1318" s="218"/>
      <c r="F1318" s="218"/>
      <c r="G1318" s="218"/>
      <c r="H1318" s="218"/>
      <c r="I1318" s="218"/>
      <c r="J1318" s="218"/>
      <c r="K1318" s="218"/>
      <c r="L1318" s="218"/>
      <c r="M1318" s="281"/>
    </row>
    <row r="1319" spans="1:13" x14ac:dyDescent="0.2">
      <c r="A1319" s="231"/>
      <c r="B1319" s="9"/>
      <c r="C1319" s="7" t="s">
        <v>619</v>
      </c>
      <c r="D1319" s="17"/>
      <c r="E1319" s="218"/>
      <c r="F1319" s="218"/>
      <c r="G1319" s="218"/>
      <c r="H1319" s="218"/>
      <c r="I1319" s="218"/>
      <c r="J1319" s="218"/>
      <c r="K1319" s="218"/>
      <c r="L1319" s="218"/>
      <c r="M1319" s="277">
        <f>SUM(J1320:J1321,J1323:J1326)</f>
        <v>55.440000000000012</v>
      </c>
    </row>
    <row r="1320" spans="1:13" x14ac:dyDescent="0.2">
      <c r="A1320" s="231"/>
      <c r="B1320" s="9"/>
      <c r="C1320" s="7" t="s">
        <v>620</v>
      </c>
      <c r="D1320" s="17">
        <v>2</v>
      </c>
      <c r="E1320" s="218"/>
      <c r="F1320" s="218">
        <v>3</v>
      </c>
      <c r="G1320" s="218"/>
      <c r="H1320" s="218">
        <v>1</v>
      </c>
      <c r="I1320" s="218">
        <v>0.6</v>
      </c>
      <c r="J1320" s="218">
        <f>I1320*H1320*F1320*D1320</f>
        <v>3.5999999999999996</v>
      </c>
      <c r="K1320" s="218"/>
      <c r="L1320" s="218"/>
      <c r="M1320" s="281"/>
    </row>
    <row r="1321" spans="1:13" x14ac:dyDescent="0.2">
      <c r="A1321" s="231"/>
      <c r="B1321" s="9"/>
      <c r="C1321" s="7" t="s">
        <v>625</v>
      </c>
      <c r="D1321" s="17">
        <v>1</v>
      </c>
      <c r="E1321" s="218"/>
      <c r="F1321" s="218">
        <v>3</v>
      </c>
      <c r="G1321" s="218"/>
      <c r="H1321" s="218">
        <v>1.2</v>
      </c>
      <c r="I1321" s="218">
        <v>1.8</v>
      </c>
      <c r="J1321" s="218">
        <f>I1321*H1321*F1321*D1321</f>
        <v>6.48</v>
      </c>
      <c r="K1321" s="218"/>
      <c r="L1321" s="218"/>
      <c r="M1321" s="281"/>
    </row>
    <row r="1322" spans="1:13" x14ac:dyDescent="0.2">
      <c r="A1322" s="231"/>
      <c r="B1322" s="9"/>
      <c r="C1322" s="7" t="s">
        <v>621</v>
      </c>
      <c r="D1322" s="17"/>
      <c r="E1322" s="218"/>
      <c r="F1322" s="218"/>
      <c r="G1322" s="218"/>
      <c r="H1322" s="218"/>
      <c r="I1322" s="218"/>
      <c r="J1322" s="218"/>
      <c r="K1322" s="218"/>
      <c r="L1322" s="218"/>
      <c r="M1322" s="281"/>
    </row>
    <row r="1323" spans="1:13" x14ac:dyDescent="0.2">
      <c r="A1323" s="231"/>
      <c r="B1323" s="9"/>
      <c r="C1323" s="7" t="s">
        <v>622</v>
      </c>
      <c r="D1323" s="17">
        <v>3</v>
      </c>
      <c r="E1323" s="218"/>
      <c r="F1323" s="218">
        <v>3</v>
      </c>
      <c r="G1323" s="218"/>
      <c r="H1323" s="218">
        <v>0.6</v>
      </c>
      <c r="I1323" s="218">
        <v>2.1</v>
      </c>
      <c r="J1323" s="218">
        <f>I1323*H1323*F1323*D1323</f>
        <v>11.34</v>
      </c>
      <c r="K1323" s="218"/>
      <c r="L1323" s="218"/>
      <c r="M1323" s="281"/>
    </row>
    <row r="1324" spans="1:13" x14ac:dyDescent="0.2">
      <c r="A1324" s="231"/>
      <c r="B1324" s="9"/>
      <c r="C1324" s="7" t="s">
        <v>623</v>
      </c>
      <c r="D1324" s="17">
        <v>4</v>
      </c>
      <c r="E1324" s="218"/>
      <c r="F1324" s="218">
        <v>3</v>
      </c>
      <c r="G1324" s="218"/>
      <c r="H1324" s="218">
        <v>0.8</v>
      </c>
      <c r="I1324" s="218">
        <v>2.1</v>
      </c>
      <c r="J1324" s="218">
        <f>I1324*H1324*F1324*D1324</f>
        <v>20.160000000000004</v>
      </c>
      <c r="K1324" s="218"/>
      <c r="L1324" s="218"/>
      <c r="M1324" s="281"/>
    </row>
    <row r="1325" spans="1:13" x14ac:dyDescent="0.2">
      <c r="A1325" s="231"/>
      <c r="B1325" s="9"/>
      <c r="C1325" s="7" t="s">
        <v>624</v>
      </c>
      <c r="D1325" s="17">
        <v>1</v>
      </c>
      <c r="E1325" s="218"/>
      <c r="F1325" s="218">
        <v>3</v>
      </c>
      <c r="G1325" s="218"/>
      <c r="H1325" s="218">
        <v>1</v>
      </c>
      <c r="I1325" s="218">
        <v>2.1</v>
      </c>
      <c r="J1325" s="218">
        <f>I1325*H1325*F1325*D1325</f>
        <v>6.3000000000000007</v>
      </c>
      <c r="K1325" s="218"/>
      <c r="L1325" s="218"/>
      <c r="M1325" s="281"/>
    </row>
    <row r="1326" spans="1:13" x14ac:dyDescent="0.2">
      <c r="A1326" s="231"/>
      <c r="B1326" s="9"/>
      <c r="C1326" s="7" t="s">
        <v>627</v>
      </c>
      <c r="D1326" s="17">
        <v>1</v>
      </c>
      <c r="E1326" s="218"/>
      <c r="F1326" s="218">
        <v>3</v>
      </c>
      <c r="G1326" s="218"/>
      <c r="H1326" s="218">
        <v>1.2</v>
      </c>
      <c r="I1326" s="218">
        <v>2.1</v>
      </c>
      <c r="J1326" s="218">
        <f>I1326*H1326*F1326*D1326</f>
        <v>7.5600000000000005</v>
      </c>
      <c r="K1326" s="218"/>
      <c r="L1326" s="218"/>
      <c r="M1326" s="281"/>
    </row>
    <row r="1327" spans="1:13" x14ac:dyDescent="0.2">
      <c r="A1327" s="231"/>
      <c r="B1327" s="9"/>
      <c r="C1327" s="7"/>
      <c r="D1327" s="17"/>
      <c r="E1327" s="218"/>
      <c r="F1327" s="218"/>
      <c r="G1327" s="218"/>
      <c r="H1327" s="218"/>
      <c r="I1327" s="218"/>
      <c r="J1327" s="218"/>
      <c r="K1327" s="218"/>
      <c r="L1327" s="218"/>
      <c r="M1327" s="281"/>
    </row>
    <row r="1328" spans="1:13" x14ac:dyDescent="0.2">
      <c r="A1328" s="231"/>
      <c r="B1328" s="9"/>
      <c r="C1328" s="7" t="s">
        <v>491</v>
      </c>
      <c r="D1328" s="17"/>
      <c r="E1328" s="218"/>
      <c r="F1328" s="218"/>
      <c r="G1328" s="218"/>
      <c r="H1328" s="218"/>
      <c r="I1328" s="218"/>
      <c r="J1328" s="218"/>
      <c r="K1328" s="218"/>
      <c r="L1328" s="218"/>
      <c r="M1328" s="277">
        <f>SUM(J1330)</f>
        <v>158.4</v>
      </c>
    </row>
    <row r="1329" spans="1:13" x14ac:dyDescent="0.2">
      <c r="A1329" s="231"/>
      <c r="B1329" s="9"/>
      <c r="C1329" s="7" t="s">
        <v>628</v>
      </c>
      <c r="D1329" s="17"/>
      <c r="E1329" s="218"/>
      <c r="F1329" s="218"/>
      <c r="G1329" s="218"/>
      <c r="H1329" s="218"/>
      <c r="I1329" s="218"/>
      <c r="J1329" s="218"/>
      <c r="K1329" s="218"/>
      <c r="L1329" s="218"/>
      <c r="M1329" s="281"/>
    </row>
    <row r="1330" spans="1:13" x14ac:dyDescent="0.2">
      <c r="A1330" s="231"/>
      <c r="B1330" s="9"/>
      <c r="C1330" s="7" t="s">
        <v>629</v>
      </c>
      <c r="D1330" s="17">
        <v>3</v>
      </c>
      <c r="E1330" s="218"/>
      <c r="F1330" s="218">
        <v>3</v>
      </c>
      <c r="G1330" s="218"/>
      <c r="H1330" s="218">
        <v>4.4000000000000004</v>
      </c>
      <c r="I1330" s="218">
        <v>4</v>
      </c>
      <c r="J1330" s="218">
        <f>I1330*H1330*F1330*D1330</f>
        <v>158.4</v>
      </c>
      <c r="K1330" s="218"/>
      <c r="L1330" s="218"/>
      <c r="M1330" s="281"/>
    </row>
    <row r="1331" spans="1:13" x14ac:dyDescent="0.2">
      <c r="A1331" s="231"/>
      <c r="B1331" s="9"/>
      <c r="C1331" s="7"/>
      <c r="D1331" s="17"/>
      <c r="E1331" s="218"/>
      <c r="F1331" s="218"/>
      <c r="G1331" s="218"/>
      <c r="H1331" s="218"/>
      <c r="I1331" s="218"/>
      <c r="J1331" s="218"/>
      <c r="K1331" s="218"/>
      <c r="L1331" s="218"/>
      <c r="M1331" s="281"/>
    </row>
    <row r="1332" spans="1:13" x14ac:dyDescent="0.2">
      <c r="A1332" s="236"/>
      <c r="B1332" s="327"/>
      <c r="C1332" s="328" t="s">
        <v>674</v>
      </c>
      <c r="D1332" s="329"/>
      <c r="E1332" s="354"/>
      <c r="F1332" s="354"/>
      <c r="G1332" s="354"/>
      <c r="H1332" s="354"/>
      <c r="I1332" s="354"/>
      <c r="J1332" s="354"/>
      <c r="K1332" s="354"/>
      <c r="L1332" s="354"/>
      <c r="M1332" s="360">
        <f>SUM(J1333:J1336)</f>
        <v>37.19</v>
      </c>
    </row>
    <row r="1333" spans="1:13" x14ac:dyDescent="0.2">
      <c r="A1333" s="231"/>
      <c r="B1333" s="9"/>
      <c r="C1333" s="7" t="s">
        <v>702</v>
      </c>
      <c r="D1333" s="17"/>
      <c r="E1333" s="218"/>
      <c r="F1333" s="218">
        <v>29.4</v>
      </c>
      <c r="G1333" s="218"/>
      <c r="H1333" s="218"/>
      <c r="I1333" s="218">
        <v>0.8</v>
      </c>
      <c r="J1333" s="218">
        <f>F1333*I1333</f>
        <v>23.52</v>
      </c>
      <c r="K1333" s="218"/>
      <c r="L1333" s="218"/>
      <c r="M1333" s="281"/>
    </row>
    <row r="1334" spans="1:13" x14ac:dyDescent="0.2">
      <c r="A1334" s="231"/>
      <c r="B1334" s="9"/>
      <c r="C1334" s="7"/>
      <c r="D1334" s="17"/>
      <c r="E1334" s="218"/>
      <c r="F1334" s="218">
        <v>4</v>
      </c>
      <c r="G1334" s="218"/>
      <c r="H1334" s="218"/>
      <c r="I1334" s="218">
        <v>2.5</v>
      </c>
      <c r="J1334" s="218">
        <f>F1334*I1334</f>
        <v>10</v>
      </c>
      <c r="K1334" s="218"/>
      <c r="L1334" s="218"/>
      <c r="M1334" s="281"/>
    </row>
    <row r="1335" spans="1:13" x14ac:dyDescent="0.2">
      <c r="A1335" s="235"/>
      <c r="B1335" s="9"/>
      <c r="C1335" s="7" t="s">
        <v>703</v>
      </c>
      <c r="D1335" s="17"/>
      <c r="E1335" s="218"/>
      <c r="F1335" s="218"/>
      <c r="G1335" s="218"/>
      <c r="H1335" s="218"/>
      <c r="I1335" s="218"/>
      <c r="J1335" s="218">
        <v>2.0699999999999998</v>
      </c>
      <c r="K1335" s="218"/>
      <c r="L1335" s="218"/>
      <c r="M1335" s="273"/>
    </row>
    <row r="1336" spans="1:13" ht="24" x14ac:dyDescent="0.2">
      <c r="A1336" s="235"/>
      <c r="B1336" s="9"/>
      <c r="C1336" s="7" t="s">
        <v>704</v>
      </c>
      <c r="D1336" s="17"/>
      <c r="E1336" s="218"/>
      <c r="F1336" s="218"/>
      <c r="G1336" s="218"/>
      <c r="H1336" s="218"/>
      <c r="I1336" s="218"/>
      <c r="J1336" s="218">
        <v>1.6</v>
      </c>
      <c r="K1336" s="218"/>
      <c r="L1336" s="218"/>
      <c r="M1336" s="273"/>
    </row>
    <row r="1337" spans="1:13" x14ac:dyDescent="0.2">
      <c r="A1337" s="235"/>
      <c r="B1337" s="9"/>
      <c r="C1337" s="7"/>
      <c r="D1337" s="17"/>
      <c r="E1337" s="218"/>
      <c r="F1337" s="218"/>
      <c r="G1337" s="218"/>
      <c r="H1337" s="218"/>
      <c r="I1337" s="218"/>
      <c r="J1337" s="218"/>
      <c r="K1337" s="218"/>
      <c r="L1337" s="218"/>
      <c r="M1337" s="273"/>
    </row>
    <row r="1338" spans="1:13" x14ac:dyDescent="0.2">
      <c r="A1338" s="235"/>
      <c r="B1338" s="9"/>
      <c r="C1338" s="7"/>
      <c r="D1338" s="17"/>
      <c r="E1338" s="218"/>
      <c r="F1338" s="218"/>
      <c r="G1338" s="218"/>
      <c r="H1338" s="218"/>
      <c r="I1338" s="218"/>
      <c r="J1338" s="218"/>
      <c r="K1338" s="218"/>
      <c r="L1338" s="218"/>
      <c r="M1338" s="273"/>
    </row>
    <row r="1339" spans="1:13" ht="48" x14ac:dyDescent="0.2">
      <c r="A1339" s="231" t="s">
        <v>675</v>
      </c>
      <c r="B1339" s="9" t="s">
        <v>382</v>
      </c>
      <c r="C1339" s="7" t="s">
        <v>676</v>
      </c>
      <c r="D1339" s="17" t="s">
        <v>45</v>
      </c>
      <c r="E1339" s="218"/>
      <c r="F1339" s="218"/>
      <c r="G1339" s="218"/>
      <c r="H1339" s="218"/>
      <c r="I1339" s="218"/>
      <c r="J1339" s="218"/>
      <c r="K1339" s="218"/>
      <c r="L1339" s="218"/>
      <c r="M1339" s="272">
        <f>SUM(M1340,M1345,M1349,M1352)</f>
        <v>338.3</v>
      </c>
    </row>
    <row r="1340" spans="1:13" x14ac:dyDescent="0.2">
      <c r="A1340" s="231"/>
      <c r="B1340" s="9"/>
      <c r="C1340" s="7" t="s">
        <v>721</v>
      </c>
      <c r="D1340" s="17"/>
      <c r="E1340" s="218"/>
      <c r="F1340" s="218"/>
      <c r="G1340" s="218"/>
      <c r="H1340" s="218"/>
      <c r="I1340" s="218"/>
      <c r="J1340" s="218"/>
      <c r="K1340" s="218"/>
      <c r="L1340" s="218"/>
      <c r="M1340" s="277">
        <f>SUM(M1341:M1343)</f>
        <v>101.9</v>
      </c>
    </row>
    <row r="1341" spans="1:13" x14ac:dyDescent="0.2">
      <c r="A1341" s="231"/>
      <c r="B1341" s="9"/>
      <c r="C1341" s="7" t="s">
        <v>720</v>
      </c>
      <c r="D1341" s="17"/>
      <c r="E1341" s="218"/>
      <c r="F1341" s="218"/>
      <c r="G1341" s="218">
        <v>73.2</v>
      </c>
      <c r="H1341" s="218"/>
      <c r="I1341" s="218"/>
      <c r="J1341" s="218"/>
      <c r="K1341" s="218"/>
      <c r="L1341" s="218"/>
      <c r="M1341" s="281">
        <f>G1341</f>
        <v>73.2</v>
      </c>
    </row>
    <row r="1342" spans="1:13" x14ac:dyDescent="0.2">
      <c r="A1342" s="231"/>
      <c r="B1342" s="9"/>
      <c r="C1342" s="7" t="s">
        <v>722</v>
      </c>
      <c r="D1342" s="17"/>
      <c r="E1342" s="218"/>
      <c r="F1342" s="218"/>
      <c r="G1342" s="218">
        <v>14.5</v>
      </c>
      <c r="H1342" s="218"/>
      <c r="I1342" s="218"/>
      <c r="J1342" s="218"/>
      <c r="K1342" s="218"/>
      <c r="L1342" s="218"/>
      <c r="M1342" s="281">
        <f>G1342</f>
        <v>14.5</v>
      </c>
    </row>
    <row r="1343" spans="1:13" x14ac:dyDescent="0.2">
      <c r="A1343" s="231"/>
      <c r="B1343" s="9"/>
      <c r="C1343" s="7" t="s">
        <v>723</v>
      </c>
      <c r="D1343" s="17"/>
      <c r="E1343" s="218"/>
      <c r="F1343" s="218"/>
      <c r="G1343" s="218">
        <v>14.2</v>
      </c>
      <c r="H1343" s="218"/>
      <c r="I1343" s="218"/>
      <c r="J1343" s="218"/>
      <c r="K1343" s="218"/>
      <c r="L1343" s="218"/>
      <c r="M1343" s="281">
        <f>G1343</f>
        <v>14.2</v>
      </c>
    </row>
    <row r="1344" spans="1:13" x14ac:dyDescent="0.2">
      <c r="A1344" s="231"/>
      <c r="B1344" s="9"/>
      <c r="C1344" s="7"/>
      <c r="D1344" s="17"/>
      <c r="E1344" s="218"/>
      <c r="F1344" s="218"/>
      <c r="G1344" s="218"/>
      <c r="H1344" s="218"/>
      <c r="I1344" s="218"/>
      <c r="J1344" s="218"/>
      <c r="K1344" s="218"/>
      <c r="L1344" s="218"/>
      <c r="M1344" s="277"/>
    </row>
    <row r="1345" spans="1:13" x14ac:dyDescent="0.2">
      <c r="A1345" s="231"/>
      <c r="B1345" s="9"/>
      <c r="C1345" s="7" t="s">
        <v>436</v>
      </c>
      <c r="D1345" s="17"/>
      <c r="E1345" s="218"/>
      <c r="F1345" s="218"/>
      <c r="G1345" s="218"/>
      <c r="H1345" s="218"/>
      <c r="I1345" s="218"/>
      <c r="J1345" s="218"/>
      <c r="K1345" s="218"/>
      <c r="L1345" s="218"/>
      <c r="M1345" s="277">
        <f>SUM(M1346:M1347)</f>
        <v>75.55</v>
      </c>
    </row>
    <row r="1346" spans="1:13" x14ac:dyDescent="0.2">
      <c r="A1346" s="231"/>
      <c r="B1346" s="9"/>
      <c r="C1346" s="7" t="s">
        <v>724</v>
      </c>
      <c r="D1346" s="17"/>
      <c r="E1346" s="218"/>
      <c r="F1346" s="218"/>
      <c r="G1346" s="218">
        <v>61</v>
      </c>
      <c r="H1346" s="218"/>
      <c r="I1346" s="218"/>
      <c r="J1346" s="218"/>
      <c r="K1346" s="218"/>
      <c r="L1346" s="218"/>
      <c r="M1346" s="281">
        <f>G1346</f>
        <v>61</v>
      </c>
    </row>
    <row r="1347" spans="1:13" x14ac:dyDescent="0.2">
      <c r="A1347" s="231"/>
      <c r="B1347" s="9"/>
      <c r="C1347" s="7" t="s">
        <v>725</v>
      </c>
      <c r="D1347" s="17"/>
      <c r="E1347" s="218"/>
      <c r="F1347" s="218"/>
      <c r="G1347" s="218">
        <v>14.55</v>
      </c>
      <c r="H1347" s="218"/>
      <c r="I1347" s="218"/>
      <c r="J1347" s="218"/>
      <c r="K1347" s="218"/>
      <c r="L1347" s="218"/>
      <c r="M1347" s="281">
        <f>G1347</f>
        <v>14.55</v>
      </c>
    </row>
    <row r="1348" spans="1:13" x14ac:dyDescent="0.2">
      <c r="A1348" s="231"/>
      <c r="B1348" s="9"/>
      <c r="C1348" s="7"/>
      <c r="D1348" s="17"/>
      <c r="E1348" s="218"/>
      <c r="F1348" s="218"/>
      <c r="G1348" s="218"/>
      <c r="H1348" s="218"/>
      <c r="I1348" s="218"/>
      <c r="J1348" s="218"/>
      <c r="K1348" s="218"/>
      <c r="L1348" s="218"/>
      <c r="M1348" s="281"/>
    </row>
    <row r="1349" spans="1:13" x14ac:dyDescent="0.2">
      <c r="A1349" s="231"/>
      <c r="B1349" s="9"/>
      <c r="C1349" s="7" t="s">
        <v>439</v>
      </c>
      <c r="D1349" s="17"/>
      <c r="E1349" s="218"/>
      <c r="F1349" s="218"/>
      <c r="G1349" s="218"/>
      <c r="H1349" s="218"/>
      <c r="I1349" s="218"/>
      <c r="J1349" s="218"/>
      <c r="K1349" s="218"/>
      <c r="L1349" s="218"/>
      <c r="M1349" s="277">
        <f>SUM(M1350)</f>
        <v>41.5</v>
      </c>
    </row>
    <row r="1350" spans="1:13" x14ac:dyDescent="0.2">
      <c r="A1350" s="231"/>
      <c r="B1350" s="9"/>
      <c r="C1350" s="7" t="s">
        <v>203</v>
      </c>
      <c r="D1350" s="17"/>
      <c r="E1350" s="218"/>
      <c r="F1350" s="218"/>
      <c r="G1350" s="218">
        <v>41.5</v>
      </c>
      <c r="H1350" s="218"/>
      <c r="I1350" s="218"/>
      <c r="J1350" s="218"/>
      <c r="K1350" s="218"/>
      <c r="L1350" s="218"/>
      <c r="M1350" s="281">
        <f>G1350</f>
        <v>41.5</v>
      </c>
    </row>
    <row r="1351" spans="1:13" x14ac:dyDescent="0.2">
      <c r="A1351" s="231"/>
      <c r="B1351" s="9"/>
      <c r="C1351" s="7"/>
      <c r="D1351" s="17"/>
      <c r="E1351" s="218"/>
      <c r="F1351" s="218"/>
      <c r="G1351" s="218"/>
      <c r="H1351" s="218"/>
      <c r="I1351" s="218"/>
      <c r="J1351" s="218"/>
      <c r="K1351" s="218"/>
      <c r="L1351" s="218"/>
      <c r="M1351" s="281"/>
    </row>
    <row r="1352" spans="1:13" x14ac:dyDescent="0.2">
      <c r="A1352" s="231"/>
      <c r="B1352" s="9"/>
      <c r="C1352" s="7" t="s">
        <v>440</v>
      </c>
      <c r="D1352" s="17"/>
      <c r="E1352" s="218"/>
      <c r="F1352" s="218"/>
      <c r="G1352" s="218"/>
      <c r="H1352" s="218"/>
      <c r="I1352" s="218"/>
      <c r="J1352" s="218"/>
      <c r="K1352" s="218"/>
      <c r="L1352" s="218"/>
      <c r="M1352" s="277">
        <f>SUM(M1353:M1358)</f>
        <v>119.35000000000001</v>
      </c>
    </row>
    <row r="1353" spans="1:13" x14ac:dyDescent="0.2">
      <c r="A1353" s="231"/>
      <c r="B1353" s="9"/>
      <c r="C1353" s="7" t="s">
        <v>218</v>
      </c>
      <c r="D1353" s="17"/>
      <c r="E1353" s="218"/>
      <c r="F1353" s="218"/>
      <c r="G1353" s="218">
        <v>17</v>
      </c>
      <c r="H1353" s="218"/>
      <c r="I1353" s="218"/>
      <c r="J1353" s="218"/>
      <c r="K1353" s="218"/>
      <c r="L1353" s="218"/>
      <c r="M1353" s="281">
        <f t="shared" ref="M1353:M1358" si="5">G1353</f>
        <v>17</v>
      </c>
    </row>
    <row r="1354" spans="1:13" x14ac:dyDescent="0.2">
      <c r="A1354" s="231"/>
      <c r="B1354" s="9"/>
      <c r="C1354" s="7" t="s">
        <v>726</v>
      </c>
      <c r="D1354" s="17"/>
      <c r="E1354" s="218"/>
      <c r="F1354" s="218"/>
      <c r="G1354" s="218">
        <v>20.5</v>
      </c>
      <c r="H1354" s="218"/>
      <c r="I1354" s="218"/>
      <c r="J1354" s="218"/>
      <c r="K1354" s="218"/>
      <c r="L1354" s="218"/>
      <c r="M1354" s="281">
        <f t="shared" si="5"/>
        <v>20.5</v>
      </c>
    </row>
    <row r="1355" spans="1:13" x14ac:dyDescent="0.2">
      <c r="A1355" s="231"/>
      <c r="B1355" s="9"/>
      <c r="C1355" s="7" t="s">
        <v>396</v>
      </c>
      <c r="D1355" s="17"/>
      <c r="E1355" s="218"/>
      <c r="F1355" s="218"/>
      <c r="G1355" s="218">
        <v>11</v>
      </c>
      <c r="H1355" s="218"/>
      <c r="I1355" s="218"/>
      <c r="J1355" s="218"/>
      <c r="K1355" s="218"/>
      <c r="L1355" s="218"/>
      <c r="M1355" s="281">
        <f t="shared" si="5"/>
        <v>11</v>
      </c>
    </row>
    <row r="1356" spans="1:13" x14ac:dyDescent="0.2">
      <c r="A1356" s="231"/>
      <c r="B1356" s="9"/>
      <c r="C1356" s="7" t="s">
        <v>223</v>
      </c>
      <c r="D1356" s="17"/>
      <c r="E1356" s="218"/>
      <c r="F1356" s="218"/>
      <c r="G1356" s="218">
        <v>15.2</v>
      </c>
      <c r="H1356" s="218"/>
      <c r="I1356" s="218"/>
      <c r="J1356" s="218"/>
      <c r="K1356" s="218"/>
      <c r="L1356" s="218"/>
      <c r="M1356" s="281">
        <f t="shared" si="5"/>
        <v>15.2</v>
      </c>
    </row>
    <row r="1357" spans="1:13" x14ac:dyDescent="0.2">
      <c r="A1357" s="231"/>
      <c r="B1357" s="9"/>
      <c r="C1357" s="7" t="s">
        <v>727</v>
      </c>
      <c r="D1357" s="17"/>
      <c r="E1357" s="218"/>
      <c r="F1357" s="218"/>
      <c r="G1357" s="218">
        <v>28.2</v>
      </c>
      <c r="H1357" s="218"/>
      <c r="I1357" s="218"/>
      <c r="J1357" s="218"/>
      <c r="K1357" s="218"/>
      <c r="L1357" s="218"/>
      <c r="M1357" s="281">
        <f t="shared" si="5"/>
        <v>28.2</v>
      </c>
    </row>
    <row r="1358" spans="1:13" x14ac:dyDescent="0.2">
      <c r="A1358" s="231"/>
      <c r="B1358" s="9"/>
      <c r="C1358" s="7" t="s">
        <v>722</v>
      </c>
      <c r="D1358" s="17"/>
      <c r="E1358" s="218"/>
      <c r="F1358" s="218"/>
      <c r="G1358" s="218">
        <v>27.45</v>
      </c>
      <c r="H1358" s="218"/>
      <c r="I1358" s="218"/>
      <c r="J1358" s="218"/>
      <c r="K1358" s="218"/>
      <c r="L1358" s="218"/>
      <c r="M1358" s="281">
        <f t="shared" si="5"/>
        <v>27.45</v>
      </c>
    </row>
    <row r="1359" spans="1:13" x14ac:dyDescent="0.2">
      <c r="A1359" s="231"/>
      <c r="B1359" s="9"/>
      <c r="C1359" s="7"/>
      <c r="D1359" s="17"/>
      <c r="E1359" s="218"/>
      <c r="F1359" s="218"/>
      <c r="G1359" s="218"/>
      <c r="H1359" s="218"/>
      <c r="I1359" s="218"/>
      <c r="J1359" s="218"/>
      <c r="K1359" s="218"/>
      <c r="L1359" s="218"/>
      <c r="M1359" s="281"/>
    </row>
    <row r="1360" spans="1:13" x14ac:dyDescent="0.2">
      <c r="A1360" s="231"/>
      <c r="B1360" s="9"/>
      <c r="C1360" s="7"/>
      <c r="D1360" s="17"/>
      <c r="E1360" s="218"/>
      <c r="F1360" s="218"/>
      <c r="G1360" s="218"/>
      <c r="H1360" s="218"/>
      <c r="I1360" s="218"/>
      <c r="J1360" s="218"/>
      <c r="K1360" s="218"/>
      <c r="L1360" s="218"/>
      <c r="M1360" s="281"/>
    </row>
    <row r="1361" spans="1:13" x14ac:dyDescent="0.2">
      <c r="A1361" s="274"/>
      <c r="B1361" s="29" t="s">
        <v>132</v>
      </c>
      <c r="C1361" s="30" t="s">
        <v>127</v>
      </c>
      <c r="D1361" s="31"/>
      <c r="E1361" s="31"/>
      <c r="F1361" s="31"/>
      <c r="G1361" s="31"/>
      <c r="H1361" s="31"/>
      <c r="I1361" s="31"/>
      <c r="J1361" s="31"/>
      <c r="K1361" s="31"/>
      <c r="L1361" s="31"/>
      <c r="M1361" s="275"/>
    </row>
    <row r="1362" spans="1:13" ht="36" x14ac:dyDescent="0.2">
      <c r="A1362" s="231" t="s">
        <v>678</v>
      </c>
      <c r="B1362" s="9" t="s">
        <v>314</v>
      </c>
      <c r="C1362" s="7" t="s">
        <v>679</v>
      </c>
      <c r="D1362" s="17" t="s">
        <v>16</v>
      </c>
      <c r="E1362" s="218"/>
      <c r="F1362" s="218"/>
      <c r="G1362" s="218"/>
      <c r="H1362" s="218"/>
      <c r="I1362" s="218"/>
      <c r="J1362" s="218"/>
      <c r="K1362" s="218"/>
      <c r="L1362" s="218"/>
      <c r="M1362" s="272">
        <f>SUM(M1363)</f>
        <v>1</v>
      </c>
    </row>
    <row r="1363" spans="1:13" x14ac:dyDescent="0.2">
      <c r="A1363" s="231"/>
      <c r="B1363" s="9"/>
      <c r="C1363" s="7" t="s">
        <v>150</v>
      </c>
      <c r="D1363" s="17"/>
      <c r="E1363" s="218">
        <v>1</v>
      </c>
      <c r="F1363" s="218"/>
      <c r="G1363" s="218"/>
      <c r="H1363" s="218"/>
      <c r="I1363" s="218"/>
      <c r="J1363" s="218"/>
      <c r="K1363" s="218"/>
      <c r="L1363" s="218"/>
      <c r="M1363" s="277">
        <f>E1363</f>
        <v>1</v>
      </c>
    </row>
    <row r="1364" spans="1:13" x14ac:dyDescent="0.2">
      <c r="A1364" s="231"/>
      <c r="B1364" s="9"/>
      <c r="C1364" s="7"/>
      <c r="D1364" s="17"/>
      <c r="E1364" s="218"/>
      <c r="F1364" s="218"/>
      <c r="G1364" s="218"/>
      <c r="H1364" s="218"/>
      <c r="I1364" s="218"/>
      <c r="J1364" s="218"/>
      <c r="K1364" s="218"/>
      <c r="L1364" s="218"/>
      <c r="M1364" s="281"/>
    </row>
    <row r="1365" spans="1:13" x14ac:dyDescent="0.2">
      <c r="A1365" s="231"/>
      <c r="B1365" s="9"/>
      <c r="C1365" s="7"/>
      <c r="D1365" s="17"/>
      <c r="E1365" s="218"/>
      <c r="F1365" s="218"/>
      <c r="G1365" s="218"/>
      <c r="H1365" s="218"/>
      <c r="I1365" s="218"/>
      <c r="J1365" s="218"/>
      <c r="K1365" s="218"/>
      <c r="L1365" s="218"/>
      <c r="M1365" s="281"/>
    </row>
    <row r="1366" spans="1:13" ht="36" x14ac:dyDescent="0.2">
      <c r="A1366" s="231" t="s">
        <v>144</v>
      </c>
      <c r="B1366" s="9" t="s">
        <v>1023</v>
      </c>
      <c r="C1366" s="7" t="s">
        <v>145</v>
      </c>
      <c r="D1366" s="17" t="s">
        <v>16</v>
      </c>
      <c r="E1366" s="218"/>
      <c r="F1366" s="218"/>
      <c r="G1366" s="218"/>
      <c r="H1366" s="218"/>
      <c r="I1366" s="218"/>
      <c r="J1366" s="218"/>
      <c r="K1366" s="218"/>
      <c r="L1366" s="218"/>
      <c r="M1366" s="272">
        <f>SUM(M1367)</f>
        <v>1</v>
      </c>
    </row>
    <row r="1367" spans="1:13" x14ac:dyDescent="0.2">
      <c r="A1367" s="231"/>
      <c r="B1367" s="9"/>
      <c r="C1367" s="7" t="s">
        <v>150</v>
      </c>
      <c r="D1367" s="17"/>
      <c r="E1367" s="218"/>
      <c r="F1367" s="218"/>
      <c r="G1367" s="218"/>
      <c r="H1367" s="218"/>
      <c r="I1367" s="218"/>
      <c r="J1367" s="218"/>
      <c r="K1367" s="218"/>
      <c r="L1367" s="218"/>
      <c r="M1367" s="277">
        <f>SUM(M1368)</f>
        <v>1</v>
      </c>
    </row>
    <row r="1368" spans="1:13" x14ac:dyDescent="0.2">
      <c r="A1368" s="231"/>
      <c r="B1368" s="9"/>
      <c r="C1368" s="7" t="s">
        <v>658</v>
      </c>
      <c r="D1368" s="17"/>
      <c r="E1368" s="218">
        <v>1</v>
      </c>
      <c r="F1368" s="218"/>
      <c r="G1368" s="218"/>
      <c r="H1368" s="218"/>
      <c r="I1368" s="218"/>
      <c r="J1368" s="218"/>
      <c r="K1368" s="218"/>
      <c r="L1368" s="218"/>
      <c r="M1368" s="281">
        <f>E1368</f>
        <v>1</v>
      </c>
    </row>
    <row r="1369" spans="1:13" x14ac:dyDescent="0.2">
      <c r="A1369" s="231"/>
      <c r="B1369" s="9"/>
      <c r="C1369" s="7"/>
      <c r="D1369" s="17"/>
      <c r="E1369" s="218"/>
      <c r="F1369" s="218"/>
      <c r="G1369" s="218"/>
      <c r="H1369" s="218"/>
      <c r="I1369" s="218"/>
      <c r="J1369" s="218"/>
      <c r="K1369" s="218"/>
      <c r="L1369" s="218"/>
      <c r="M1369" s="281"/>
    </row>
    <row r="1370" spans="1:13" x14ac:dyDescent="0.2">
      <c r="A1370" s="231"/>
      <c r="B1370" s="9"/>
      <c r="C1370" s="7"/>
      <c r="D1370" s="17"/>
      <c r="E1370" s="218"/>
      <c r="F1370" s="218"/>
      <c r="G1370" s="218"/>
      <c r="H1370" s="218"/>
      <c r="I1370" s="218"/>
      <c r="J1370" s="218"/>
      <c r="K1370" s="218"/>
      <c r="L1370" s="218"/>
      <c r="M1370" s="277"/>
    </row>
    <row r="1371" spans="1:13" ht="60" x14ac:dyDescent="0.2">
      <c r="A1371" s="231" t="s">
        <v>680</v>
      </c>
      <c r="B1371" s="9" t="s">
        <v>1024</v>
      </c>
      <c r="C1371" s="7" t="s">
        <v>681</v>
      </c>
      <c r="D1371" s="17" t="s">
        <v>17</v>
      </c>
      <c r="E1371" s="218"/>
      <c r="F1371" s="218"/>
      <c r="G1371" s="218"/>
      <c r="H1371" s="218"/>
      <c r="I1371" s="218"/>
      <c r="J1371" s="218"/>
      <c r="K1371" s="218"/>
      <c r="L1371" s="218"/>
      <c r="M1371" s="272">
        <f>SUM(M1372,M1375,M1380)</f>
        <v>4.8890000000000002</v>
      </c>
    </row>
    <row r="1372" spans="1:13" x14ac:dyDescent="0.2">
      <c r="A1372" s="231"/>
      <c r="B1372" s="9"/>
      <c r="C1372" s="7" t="s">
        <v>150</v>
      </c>
      <c r="D1372" s="17"/>
      <c r="E1372" s="218"/>
      <c r="F1372" s="218"/>
      <c r="G1372" s="218"/>
      <c r="H1372" s="218"/>
      <c r="I1372" s="218"/>
      <c r="J1372" s="218"/>
      <c r="K1372" s="218"/>
      <c r="L1372" s="218"/>
      <c r="M1372" s="277">
        <f>SUM(M1373)</f>
        <v>1.2</v>
      </c>
    </row>
    <row r="1373" spans="1:13" x14ac:dyDescent="0.2">
      <c r="A1373" s="231"/>
      <c r="B1373" s="9"/>
      <c r="C1373" s="7" t="s">
        <v>658</v>
      </c>
      <c r="D1373" s="17"/>
      <c r="E1373" s="218"/>
      <c r="F1373" s="218">
        <v>2</v>
      </c>
      <c r="G1373" s="218"/>
      <c r="H1373" s="218">
        <v>0.6</v>
      </c>
      <c r="I1373" s="218"/>
      <c r="J1373" s="218"/>
      <c r="K1373" s="218"/>
      <c r="L1373" s="218"/>
      <c r="M1373" s="281">
        <f>F1373*H1373</f>
        <v>1.2</v>
      </c>
    </row>
    <row r="1374" spans="1:13" x14ac:dyDescent="0.2">
      <c r="A1374" s="231"/>
      <c r="B1374" s="9"/>
      <c r="C1374" s="7"/>
      <c r="D1374" s="17"/>
      <c r="E1374" s="218"/>
      <c r="F1374" s="218"/>
      <c r="G1374" s="218"/>
      <c r="H1374" s="218"/>
      <c r="I1374" s="218"/>
      <c r="J1374" s="218"/>
      <c r="K1374" s="218"/>
      <c r="L1374" s="218"/>
      <c r="M1374" s="281"/>
    </row>
    <row r="1375" spans="1:13" x14ac:dyDescent="0.2">
      <c r="A1375" s="231"/>
      <c r="B1375" s="9"/>
      <c r="C1375" s="7" t="s">
        <v>151</v>
      </c>
      <c r="D1375" s="17"/>
      <c r="E1375" s="218"/>
      <c r="F1375" s="218"/>
      <c r="G1375" s="218"/>
      <c r="H1375" s="218"/>
      <c r="I1375" s="218"/>
      <c r="J1375" s="218"/>
      <c r="K1375" s="218"/>
      <c r="L1375" s="218"/>
      <c r="M1375" s="277">
        <f>SUM(M1376:M1378)</f>
        <v>2.1890000000000005</v>
      </c>
    </row>
    <row r="1376" spans="1:13" x14ac:dyDescent="0.2">
      <c r="A1376" s="231"/>
      <c r="B1376" s="9"/>
      <c r="C1376" s="7" t="s">
        <v>437</v>
      </c>
      <c r="D1376" s="17"/>
      <c r="E1376" s="218"/>
      <c r="F1376" s="218">
        <v>1.45</v>
      </c>
      <c r="G1376" s="218"/>
      <c r="H1376" s="218">
        <v>0.4</v>
      </c>
      <c r="I1376" s="218"/>
      <c r="J1376" s="218"/>
      <c r="K1376" s="218"/>
      <c r="L1376" s="218"/>
      <c r="M1376" s="281">
        <f>F1376*H1376</f>
        <v>0.57999999999999996</v>
      </c>
    </row>
    <row r="1377" spans="1:13" x14ac:dyDescent="0.2">
      <c r="A1377" s="231"/>
      <c r="B1377" s="9"/>
      <c r="C1377" s="7" t="s">
        <v>165</v>
      </c>
      <c r="D1377" s="17"/>
      <c r="E1377" s="218"/>
      <c r="F1377" s="218">
        <v>2.1800000000000002</v>
      </c>
      <c r="G1377" s="218"/>
      <c r="H1377" s="218">
        <v>0.55000000000000004</v>
      </c>
      <c r="I1377" s="218"/>
      <c r="J1377" s="218"/>
      <c r="K1377" s="218"/>
      <c r="L1377" s="218"/>
      <c r="M1377" s="281">
        <f>F1377*H1377</f>
        <v>1.1990000000000003</v>
      </c>
    </row>
    <row r="1378" spans="1:13" x14ac:dyDescent="0.2">
      <c r="A1378" s="231"/>
      <c r="B1378" s="9"/>
      <c r="C1378" s="7" t="s">
        <v>682</v>
      </c>
      <c r="D1378" s="17"/>
      <c r="E1378" s="218"/>
      <c r="F1378" s="218"/>
      <c r="G1378" s="218"/>
      <c r="H1378" s="218"/>
      <c r="I1378" s="218"/>
      <c r="J1378" s="218">
        <v>0.41</v>
      </c>
      <c r="K1378" s="218"/>
      <c r="L1378" s="218"/>
      <c r="M1378" s="281">
        <f>J1378</f>
        <v>0.41</v>
      </c>
    </row>
    <row r="1379" spans="1:13" x14ac:dyDescent="0.2">
      <c r="A1379" s="231"/>
      <c r="B1379" s="9"/>
      <c r="C1379" s="7"/>
      <c r="D1379" s="17"/>
      <c r="E1379" s="218"/>
      <c r="F1379" s="218"/>
      <c r="G1379" s="218"/>
      <c r="H1379" s="218"/>
      <c r="I1379" s="218"/>
      <c r="J1379" s="218"/>
      <c r="K1379" s="218"/>
      <c r="L1379" s="218"/>
      <c r="M1379" s="277"/>
    </row>
    <row r="1380" spans="1:13" x14ac:dyDescent="0.2">
      <c r="A1380" s="231"/>
      <c r="B1380" s="9"/>
      <c r="C1380" s="7" t="s">
        <v>152</v>
      </c>
      <c r="D1380" s="17"/>
      <c r="E1380" s="218"/>
      <c r="F1380" s="218"/>
      <c r="G1380" s="218"/>
      <c r="H1380" s="218"/>
      <c r="I1380" s="218"/>
      <c r="J1380" s="218"/>
      <c r="K1380" s="218"/>
      <c r="L1380" s="218"/>
      <c r="M1380" s="277">
        <f>SUM(M1381:M1384)</f>
        <v>1.5</v>
      </c>
    </row>
    <row r="1381" spans="1:13" x14ac:dyDescent="0.2">
      <c r="A1381" s="231"/>
      <c r="B1381" s="9"/>
      <c r="C1381" s="7" t="s">
        <v>660</v>
      </c>
      <c r="D1381" s="17"/>
      <c r="E1381" s="218"/>
      <c r="F1381" s="218">
        <v>1</v>
      </c>
      <c r="G1381" s="218"/>
      <c r="H1381" s="218">
        <v>0.4</v>
      </c>
      <c r="I1381" s="218"/>
      <c r="J1381" s="218"/>
      <c r="K1381" s="218"/>
      <c r="L1381" s="218"/>
      <c r="M1381" s="281">
        <f>F1381*H1381</f>
        <v>0.4</v>
      </c>
    </row>
    <row r="1382" spans="1:13" x14ac:dyDescent="0.2">
      <c r="A1382" s="231"/>
      <c r="B1382" s="9"/>
      <c r="C1382" s="7" t="s">
        <v>171</v>
      </c>
      <c r="D1382" s="17"/>
      <c r="E1382" s="218"/>
      <c r="F1382" s="218">
        <v>2</v>
      </c>
      <c r="G1382" s="218"/>
      <c r="H1382" s="218">
        <v>0.55000000000000004</v>
      </c>
      <c r="I1382" s="218"/>
      <c r="J1382" s="218"/>
      <c r="K1382" s="218"/>
      <c r="L1382" s="218"/>
      <c r="M1382" s="281">
        <f>F1382*H1382</f>
        <v>1.1000000000000001</v>
      </c>
    </row>
    <row r="1383" spans="1:13" x14ac:dyDescent="0.2">
      <c r="A1383" s="231"/>
      <c r="B1383" s="9"/>
      <c r="C1383" s="7"/>
      <c r="D1383" s="17"/>
      <c r="E1383" s="218"/>
      <c r="F1383" s="218"/>
      <c r="G1383" s="218"/>
      <c r="H1383" s="218"/>
      <c r="I1383" s="218"/>
      <c r="J1383" s="218"/>
      <c r="K1383" s="218"/>
      <c r="L1383" s="218"/>
      <c r="M1383" s="281"/>
    </row>
    <row r="1384" spans="1:13" x14ac:dyDescent="0.2">
      <c r="A1384" s="231"/>
      <c r="B1384" s="9"/>
      <c r="C1384" s="7"/>
      <c r="D1384" s="17"/>
      <c r="E1384" s="218"/>
      <c r="F1384" s="218"/>
      <c r="G1384" s="218"/>
      <c r="H1384" s="218"/>
      <c r="I1384" s="218"/>
      <c r="J1384" s="218"/>
      <c r="K1384" s="218"/>
      <c r="L1384" s="218"/>
      <c r="M1384" s="277"/>
    </row>
    <row r="1385" spans="1:13" ht="36" x14ac:dyDescent="0.2">
      <c r="A1385" s="231" t="s">
        <v>683</v>
      </c>
      <c r="B1385" s="9" t="s">
        <v>1025</v>
      </c>
      <c r="C1385" s="7" t="s">
        <v>684</v>
      </c>
      <c r="D1385" s="17" t="s">
        <v>45</v>
      </c>
      <c r="E1385" s="218"/>
      <c r="F1385" s="218"/>
      <c r="G1385" s="218"/>
      <c r="H1385" s="218"/>
      <c r="I1385" s="218"/>
      <c r="J1385" s="218"/>
      <c r="K1385" s="218"/>
      <c r="L1385" s="218"/>
      <c r="M1385" s="272">
        <f>SUM(M1386,M1389,M1394)</f>
        <v>15.35</v>
      </c>
    </row>
    <row r="1386" spans="1:13" x14ac:dyDescent="0.2">
      <c r="A1386" s="231"/>
      <c r="B1386" s="9"/>
      <c r="C1386" s="7" t="s">
        <v>150</v>
      </c>
      <c r="D1386" s="17"/>
      <c r="E1386" s="218"/>
      <c r="F1386" s="218"/>
      <c r="G1386" s="218"/>
      <c r="H1386" s="218"/>
      <c r="I1386" s="218"/>
      <c r="J1386" s="218"/>
      <c r="K1386" s="218"/>
      <c r="L1386" s="218"/>
      <c r="M1386" s="277">
        <f>SUM(M1387)</f>
        <v>2</v>
      </c>
    </row>
    <row r="1387" spans="1:13" x14ac:dyDescent="0.2">
      <c r="A1387" s="231"/>
      <c r="B1387" s="9"/>
      <c r="C1387" s="7" t="s">
        <v>658</v>
      </c>
      <c r="D1387" s="17"/>
      <c r="E1387" s="218"/>
      <c r="F1387" s="218"/>
      <c r="G1387" s="218">
        <v>2</v>
      </c>
      <c r="H1387" s="218"/>
      <c r="I1387" s="218"/>
      <c r="J1387" s="218"/>
      <c r="K1387" s="218"/>
      <c r="L1387" s="218"/>
      <c r="M1387" s="281">
        <f>G1387</f>
        <v>2</v>
      </c>
    </row>
    <row r="1388" spans="1:13" x14ac:dyDescent="0.2">
      <c r="A1388" s="231"/>
      <c r="B1388" s="9"/>
      <c r="C1388" s="7"/>
      <c r="D1388" s="17"/>
      <c r="E1388" s="218"/>
      <c r="F1388" s="218"/>
      <c r="G1388" s="218"/>
      <c r="H1388" s="218"/>
      <c r="I1388" s="218"/>
      <c r="J1388" s="218"/>
      <c r="K1388" s="218"/>
      <c r="L1388" s="218"/>
      <c r="M1388" s="281"/>
    </row>
    <row r="1389" spans="1:13" x14ac:dyDescent="0.2">
      <c r="A1389" s="231"/>
      <c r="B1389" s="9"/>
      <c r="C1389" s="7" t="s">
        <v>151</v>
      </c>
      <c r="D1389" s="17"/>
      <c r="E1389" s="218"/>
      <c r="F1389" s="218"/>
      <c r="G1389" s="218"/>
      <c r="H1389" s="218"/>
      <c r="I1389" s="218"/>
      <c r="J1389" s="218"/>
      <c r="K1389" s="218"/>
      <c r="L1389" s="218"/>
      <c r="M1389" s="277">
        <f>SUM(M1390:M1392)</f>
        <v>6.4</v>
      </c>
    </row>
    <row r="1390" spans="1:13" x14ac:dyDescent="0.2">
      <c r="A1390" s="231"/>
      <c r="B1390" s="9"/>
      <c r="C1390" s="7" t="s">
        <v>437</v>
      </c>
      <c r="D1390" s="17"/>
      <c r="E1390" s="218"/>
      <c r="F1390" s="218"/>
      <c r="G1390" s="218">
        <v>1.75</v>
      </c>
      <c r="H1390" s="218"/>
      <c r="I1390" s="218"/>
      <c r="J1390" s="218"/>
      <c r="K1390" s="218"/>
      <c r="L1390" s="218"/>
      <c r="M1390" s="281">
        <f>G1390</f>
        <v>1.75</v>
      </c>
    </row>
    <row r="1391" spans="1:13" x14ac:dyDescent="0.2">
      <c r="A1391" s="231"/>
      <c r="B1391" s="9"/>
      <c r="C1391" s="7" t="s">
        <v>165</v>
      </c>
      <c r="D1391" s="17"/>
      <c r="E1391" s="218"/>
      <c r="F1391" s="218"/>
      <c r="G1391" s="218">
        <v>2.75</v>
      </c>
      <c r="H1391" s="218"/>
      <c r="I1391" s="218"/>
      <c r="J1391" s="218"/>
      <c r="K1391" s="218"/>
      <c r="L1391" s="218"/>
      <c r="M1391" s="281">
        <f>G1391</f>
        <v>2.75</v>
      </c>
    </row>
    <row r="1392" spans="1:13" x14ac:dyDescent="0.2">
      <c r="A1392" s="231"/>
      <c r="B1392" s="9"/>
      <c r="C1392" s="7" t="s">
        <v>659</v>
      </c>
      <c r="D1392" s="17"/>
      <c r="E1392" s="218"/>
      <c r="F1392" s="218"/>
      <c r="G1392" s="218">
        <v>1.9</v>
      </c>
      <c r="H1392" s="218"/>
      <c r="I1392" s="218"/>
      <c r="J1392" s="218"/>
      <c r="K1392" s="218"/>
      <c r="L1392" s="218"/>
      <c r="M1392" s="281">
        <f>G1392</f>
        <v>1.9</v>
      </c>
    </row>
    <row r="1393" spans="1:13" x14ac:dyDescent="0.2">
      <c r="A1393" s="231"/>
      <c r="B1393" s="9"/>
      <c r="C1393" s="7"/>
      <c r="D1393" s="17"/>
      <c r="E1393" s="218"/>
      <c r="F1393" s="218"/>
      <c r="G1393" s="218"/>
      <c r="H1393" s="218"/>
      <c r="I1393" s="218"/>
      <c r="J1393" s="218"/>
      <c r="K1393" s="218"/>
      <c r="L1393" s="218"/>
      <c r="M1393" s="277"/>
    </row>
    <row r="1394" spans="1:13" x14ac:dyDescent="0.2">
      <c r="A1394" s="231"/>
      <c r="B1394" s="9"/>
      <c r="C1394" s="7" t="s">
        <v>152</v>
      </c>
      <c r="D1394" s="17"/>
      <c r="E1394" s="218"/>
      <c r="F1394" s="218"/>
      <c r="G1394" s="218"/>
      <c r="H1394" s="218"/>
      <c r="I1394" s="218"/>
      <c r="J1394" s="218"/>
      <c r="K1394" s="218"/>
      <c r="L1394" s="218"/>
      <c r="M1394" s="277">
        <f>SUM(M1395:M1398)</f>
        <v>6.9499999999999993</v>
      </c>
    </row>
    <row r="1395" spans="1:13" x14ac:dyDescent="0.2">
      <c r="A1395" s="231"/>
      <c r="B1395" s="9"/>
      <c r="C1395" s="7" t="s">
        <v>660</v>
      </c>
      <c r="D1395" s="17"/>
      <c r="E1395" s="218"/>
      <c r="F1395" s="218"/>
      <c r="G1395" s="218">
        <v>1.4</v>
      </c>
      <c r="H1395" s="218"/>
      <c r="I1395" s="218"/>
      <c r="J1395" s="218"/>
      <c r="K1395" s="218"/>
      <c r="L1395" s="218"/>
      <c r="M1395" s="281">
        <f>G1395</f>
        <v>1.4</v>
      </c>
    </row>
    <row r="1396" spans="1:13" x14ac:dyDescent="0.2">
      <c r="A1396" s="231"/>
      <c r="B1396" s="9"/>
      <c r="C1396" s="7" t="s">
        <v>171</v>
      </c>
      <c r="D1396" s="17"/>
      <c r="E1396" s="218"/>
      <c r="F1396" s="218"/>
      <c r="G1396" s="218">
        <v>2.5499999999999998</v>
      </c>
      <c r="H1396" s="218"/>
      <c r="I1396" s="218"/>
      <c r="J1396" s="218"/>
      <c r="K1396" s="218"/>
      <c r="L1396" s="218"/>
      <c r="M1396" s="281">
        <f>G1396</f>
        <v>2.5499999999999998</v>
      </c>
    </row>
    <row r="1397" spans="1:13" x14ac:dyDescent="0.2">
      <c r="A1397" s="231"/>
      <c r="B1397" s="9"/>
      <c r="C1397" s="7" t="s">
        <v>441</v>
      </c>
      <c r="D1397" s="17"/>
      <c r="E1397" s="218">
        <v>2</v>
      </c>
      <c r="F1397" s="218"/>
      <c r="G1397" s="218">
        <v>1.5</v>
      </c>
      <c r="H1397" s="218"/>
      <c r="I1397" s="218"/>
      <c r="J1397" s="218"/>
      <c r="K1397" s="218"/>
      <c r="L1397" s="218"/>
      <c r="M1397" s="281">
        <f>E1397*G1397</f>
        <v>3</v>
      </c>
    </row>
    <row r="1398" spans="1:13" x14ac:dyDescent="0.2">
      <c r="A1398" s="231"/>
      <c r="B1398" s="9"/>
      <c r="C1398" s="7"/>
      <c r="D1398" s="17"/>
      <c r="E1398" s="218"/>
      <c r="F1398" s="218"/>
      <c r="G1398" s="218"/>
      <c r="H1398" s="218"/>
      <c r="I1398" s="218"/>
      <c r="J1398" s="218"/>
      <c r="K1398" s="218"/>
      <c r="L1398" s="218"/>
      <c r="M1398" s="277"/>
    </row>
    <row r="1399" spans="1:13" x14ac:dyDescent="0.2">
      <c r="A1399" s="236"/>
      <c r="B1399" s="327"/>
      <c r="C1399" s="328"/>
      <c r="D1399" s="329"/>
      <c r="E1399" s="354"/>
      <c r="F1399" s="354"/>
      <c r="G1399" s="354"/>
      <c r="H1399" s="354"/>
      <c r="I1399" s="354"/>
      <c r="J1399" s="354"/>
      <c r="K1399" s="354"/>
      <c r="L1399" s="354"/>
      <c r="M1399" s="360"/>
    </row>
    <row r="1400" spans="1:13" ht="36" x14ac:dyDescent="0.2">
      <c r="A1400" s="231" t="s">
        <v>685</v>
      </c>
      <c r="B1400" s="9" t="s">
        <v>381</v>
      </c>
      <c r="C1400" s="7" t="s">
        <v>686</v>
      </c>
      <c r="D1400" s="17" t="s">
        <v>45</v>
      </c>
      <c r="E1400" s="218"/>
      <c r="F1400" s="218"/>
      <c r="G1400" s="218"/>
      <c r="H1400" s="218"/>
      <c r="I1400" s="218"/>
      <c r="J1400" s="218"/>
      <c r="K1400" s="218"/>
      <c r="L1400" s="218"/>
      <c r="M1400" s="272">
        <f>SUM(M1401,M1406)</f>
        <v>7.0500000000000007</v>
      </c>
    </row>
    <row r="1401" spans="1:13" x14ac:dyDescent="0.2">
      <c r="A1401" s="231"/>
      <c r="B1401" s="9"/>
      <c r="C1401" s="7" t="s">
        <v>151</v>
      </c>
      <c r="D1401" s="17"/>
      <c r="E1401" s="218"/>
      <c r="F1401" s="218"/>
      <c r="G1401" s="218"/>
      <c r="H1401" s="218"/>
      <c r="I1401" s="218"/>
      <c r="J1401" s="218"/>
      <c r="K1401" s="218"/>
      <c r="L1401" s="218"/>
      <c r="M1401" s="277">
        <f>SUM(M1402:M1404)</f>
        <v>3.45</v>
      </c>
    </row>
    <row r="1402" spans="1:13" x14ac:dyDescent="0.2">
      <c r="A1402" s="231"/>
      <c r="B1402" s="9"/>
      <c r="C1402" s="7" t="s">
        <v>437</v>
      </c>
      <c r="D1402" s="17"/>
      <c r="E1402" s="218">
        <v>2</v>
      </c>
      <c r="F1402" s="218">
        <v>0.35</v>
      </c>
      <c r="G1402" s="218"/>
      <c r="H1402" s="218"/>
      <c r="I1402" s="218"/>
      <c r="J1402" s="218"/>
      <c r="K1402" s="218"/>
      <c r="L1402" s="218"/>
      <c r="M1402" s="281">
        <f>E1402*F1402</f>
        <v>0.7</v>
      </c>
    </row>
    <row r="1403" spans="1:13" x14ac:dyDescent="0.2">
      <c r="A1403" s="231"/>
      <c r="B1403" s="9"/>
      <c r="C1403" s="7" t="s">
        <v>165</v>
      </c>
      <c r="D1403" s="17"/>
      <c r="E1403" s="218">
        <v>1</v>
      </c>
      <c r="F1403" s="218">
        <v>2</v>
      </c>
      <c r="G1403" s="218"/>
      <c r="H1403" s="218"/>
      <c r="I1403" s="218"/>
      <c r="J1403" s="218"/>
      <c r="K1403" s="218"/>
      <c r="L1403" s="218"/>
      <c r="M1403" s="281">
        <f t="shared" ref="M1403:M1409" si="6">E1403*F1403</f>
        <v>2</v>
      </c>
    </row>
    <row r="1404" spans="1:13" x14ac:dyDescent="0.2">
      <c r="A1404" s="231"/>
      <c r="B1404" s="9"/>
      <c r="C1404" s="7"/>
      <c r="D1404" s="17"/>
      <c r="E1404" s="218">
        <v>1</v>
      </c>
      <c r="F1404" s="218">
        <v>0.75</v>
      </c>
      <c r="G1404" s="218"/>
      <c r="H1404" s="218"/>
      <c r="I1404" s="218"/>
      <c r="J1404" s="218"/>
      <c r="K1404" s="218"/>
      <c r="L1404" s="218"/>
      <c r="M1404" s="281">
        <f t="shared" si="6"/>
        <v>0.75</v>
      </c>
    </row>
    <row r="1405" spans="1:13" x14ac:dyDescent="0.2">
      <c r="A1405" s="231"/>
      <c r="B1405" s="9"/>
      <c r="C1405" s="7"/>
      <c r="D1405" s="17"/>
      <c r="E1405" s="218"/>
      <c r="F1405" s="218"/>
      <c r="G1405" s="218"/>
      <c r="H1405" s="218"/>
      <c r="I1405" s="218"/>
      <c r="J1405" s="218"/>
      <c r="K1405" s="218"/>
      <c r="L1405" s="218"/>
      <c r="M1405" s="281"/>
    </row>
    <row r="1406" spans="1:13" x14ac:dyDescent="0.2">
      <c r="A1406" s="231"/>
      <c r="B1406" s="9"/>
      <c r="C1406" s="7" t="s">
        <v>152</v>
      </c>
      <c r="D1406" s="17"/>
      <c r="E1406" s="218"/>
      <c r="F1406" s="218"/>
      <c r="G1406" s="218"/>
      <c r="H1406" s="218"/>
      <c r="I1406" s="218"/>
      <c r="J1406" s="218"/>
      <c r="K1406" s="218"/>
      <c r="L1406" s="218"/>
      <c r="M1406" s="277">
        <f>SUM(M1407:M1409)</f>
        <v>3.6</v>
      </c>
    </row>
    <row r="1407" spans="1:13" x14ac:dyDescent="0.2">
      <c r="A1407" s="231"/>
      <c r="B1407" s="9"/>
      <c r="C1407" s="7" t="s">
        <v>660</v>
      </c>
      <c r="D1407" s="17"/>
      <c r="E1407" s="218">
        <v>1</v>
      </c>
      <c r="F1407" s="218">
        <v>1</v>
      </c>
      <c r="G1407" s="218"/>
      <c r="H1407" s="218"/>
      <c r="I1407" s="218"/>
      <c r="J1407" s="218"/>
      <c r="K1407" s="218"/>
      <c r="L1407" s="218"/>
      <c r="M1407" s="281">
        <f t="shared" si="6"/>
        <v>1</v>
      </c>
    </row>
    <row r="1408" spans="1:13" x14ac:dyDescent="0.2">
      <c r="A1408" s="231"/>
      <c r="B1408" s="9"/>
      <c r="C1408" s="7" t="s">
        <v>171</v>
      </c>
      <c r="D1408" s="17"/>
      <c r="E1408" s="218">
        <v>1</v>
      </c>
      <c r="F1408" s="218">
        <v>1.85</v>
      </c>
      <c r="G1408" s="218"/>
      <c r="H1408" s="218"/>
      <c r="I1408" s="218"/>
      <c r="J1408" s="218"/>
      <c r="K1408" s="218"/>
      <c r="L1408" s="218"/>
      <c r="M1408" s="281">
        <f t="shared" si="6"/>
        <v>1.85</v>
      </c>
    </row>
    <row r="1409" spans="1:13" x14ac:dyDescent="0.2">
      <c r="A1409" s="231"/>
      <c r="B1409" s="9"/>
      <c r="C1409" s="7"/>
      <c r="D1409" s="17"/>
      <c r="E1409" s="218">
        <v>1</v>
      </c>
      <c r="F1409" s="218">
        <v>0.75</v>
      </c>
      <c r="G1409" s="218"/>
      <c r="H1409" s="218"/>
      <c r="I1409" s="218"/>
      <c r="J1409" s="218"/>
      <c r="K1409" s="218"/>
      <c r="L1409" s="218"/>
      <c r="M1409" s="281">
        <f t="shared" si="6"/>
        <v>0.75</v>
      </c>
    </row>
    <row r="1410" spans="1:13" x14ac:dyDescent="0.2">
      <c r="A1410" s="231"/>
      <c r="B1410" s="9"/>
      <c r="C1410" s="7"/>
      <c r="D1410" s="17"/>
      <c r="E1410" s="218"/>
      <c r="F1410" s="218"/>
      <c r="G1410" s="218"/>
      <c r="H1410" s="218"/>
      <c r="I1410" s="218"/>
      <c r="J1410" s="218"/>
      <c r="K1410" s="218"/>
      <c r="L1410" s="218"/>
      <c r="M1410" s="277"/>
    </row>
    <row r="1411" spans="1:13" x14ac:dyDescent="0.2">
      <c r="A1411" s="231"/>
      <c r="B1411" s="9"/>
      <c r="C1411" s="7"/>
      <c r="D1411" s="17"/>
      <c r="E1411" s="218"/>
      <c r="F1411" s="218"/>
      <c r="G1411" s="218"/>
      <c r="H1411" s="218"/>
      <c r="I1411" s="218"/>
      <c r="J1411" s="218"/>
      <c r="K1411" s="218"/>
      <c r="L1411" s="218"/>
      <c r="M1411" s="277"/>
    </row>
    <row r="1412" spans="1:13" ht="72" x14ac:dyDescent="0.2">
      <c r="A1412" s="231" t="s">
        <v>687</v>
      </c>
      <c r="B1412" s="9" t="s">
        <v>1026</v>
      </c>
      <c r="C1412" s="7" t="s">
        <v>688</v>
      </c>
      <c r="D1412" s="17" t="s">
        <v>16</v>
      </c>
      <c r="E1412" s="218"/>
      <c r="F1412" s="218"/>
      <c r="G1412" s="218"/>
      <c r="H1412" s="218"/>
      <c r="I1412" s="218"/>
      <c r="J1412" s="218"/>
      <c r="K1412" s="218"/>
      <c r="L1412" s="218"/>
      <c r="M1412" s="272">
        <f>SUM(M1417,M1413)</f>
        <v>7</v>
      </c>
    </row>
    <row r="1413" spans="1:13" x14ac:dyDescent="0.2">
      <c r="A1413" s="231"/>
      <c r="B1413" s="9"/>
      <c r="C1413" s="7" t="s">
        <v>151</v>
      </c>
      <c r="D1413" s="17"/>
      <c r="E1413" s="218"/>
      <c r="F1413" s="218"/>
      <c r="G1413" s="218"/>
      <c r="H1413" s="218"/>
      <c r="I1413" s="218"/>
      <c r="J1413" s="218"/>
      <c r="K1413" s="218"/>
      <c r="L1413" s="218"/>
      <c r="M1413" s="277">
        <f>SUM(M1414:M1415)</f>
        <v>2</v>
      </c>
    </row>
    <row r="1414" spans="1:13" x14ac:dyDescent="0.2">
      <c r="A1414" s="231"/>
      <c r="B1414" s="9"/>
      <c r="C1414" s="7" t="s">
        <v>437</v>
      </c>
      <c r="D1414" s="17"/>
      <c r="E1414" s="218">
        <v>1</v>
      </c>
      <c r="F1414" s="218"/>
      <c r="G1414" s="218"/>
      <c r="H1414" s="218"/>
      <c r="I1414" s="218"/>
      <c r="J1414" s="218"/>
      <c r="K1414" s="218"/>
      <c r="L1414" s="218"/>
      <c r="M1414" s="281">
        <f>E1414</f>
        <v>1</v>
      </c>
    </row>
    <row r="1415" spans="1:13" x14ac:dyDescent="0.2">
      <c r="A1415" s="231"/>
      <c r="B1415" s="9"/>
      <c r="C1415" s="7" t="s">
        <v>659</v>
      </c>
      <c r="D1415" s="17"/>
      <c r="E1415" s="218">
        <v>1</v>
      </c>
      <c r="F1415" s="218"/>
      <c r="G1415" s="218"/>
      <c r="H1415" s="218"/>
      <c r="I1415" s="218"/>
      <c r="J1415" s="218"/>
      <c r="K1415" s="218"/>
      <c r="L1415" s="218"/>
      <c r="M1415" s="281">
        <f>E1415</f>
        <v>1</v>
      </c>
    </row>
    <row r="1416" spans="1:13" x14ac:dyDescent="0.2">
      <c r="A1416" s="231"/>
      <c r="B1416" s="9"/>
      <c r="C1416" s="7"/>
      <c r="D1416" s="17"/>
      <c r="E1416" s="218"/>
      <c r="F1416" s="218"/>
      <c r="G1416" s="218"/>
      <c r="H1416" s="218"/>
      <c r="I1416" s="218"/>
      <c r="J1416" s="218"/>
      <c r="K1416" s="218"/>
      <c r="L1416" s="218"/>
      <c r="M1416" s="281"/>
    </row>
    <row r="1417" spans="1:13" x14ac:dyDescent="0.2">
      <c r="A1417" s="231"/>
      <c r="B1417" s="9"/>
      <c r="C1417" s="7" t="s">
        <v>152</v>
      </c>
      <c r="D1417" s="17"/>
      <c r="E1417" s="218"/>
      <c r="F1417" s="218"/>
      <c r="G1417" s="218"/>
      <c r="H1417" s="218"/>
      <c r="I1417" s="218"/>
      <c r="J1417" s="218"/>
      <c r="K1417" s="218"/>
      <c r="L1417" s="218"/>
      <c r="M1417" s="277">
        <f>SUM(M1418:M1419)</f>
        <v>5</v>
      </c>
    </row>
    <row r="1418" spans="1:13" x14ac:dyDescent="0.2">
      <c r="A1418" s="231"/>
      <c r="B1418" s="9"/>
      <c r="C1418" s="7" t="s">
        <v>660</v>
      </c>
      <c r="D1418" s="17"/>
      <c r="E1418" s="218">
        <v>1</v>
      </c>
      <c r="F1418" s="218"/>
      <c r="G1418" s="218"/>
      <c r="H1418" s="218"/>
      <c r="I1418" s="218"/>
      <c r="J1418" s="218"/>
      <c r="K1418" s="218"/>
      <c r="L1418" s="218"/>
      <c r="M1418" s="281">
        <f>E1418</f>
        <v>1</v>
      </c>
    </row>
    <row r="1419" spans="1:13" x14ac:dyDescent="0.2">
      <c r="A1419" s="231"/>
      <c r="B1419" s="9"/>
      <c r="C1419" s="7" t="s">
        <v>441</v>
      </c>
      <c r="D1419" s="17"/>
      <c r="E1419" s="218">
        <v>4</v>
      </c>
      <c r="F1419" s="218"/>
      <c r="G1419" s="218"/>
      <c r="H1419" s="218"/>
      <c r="I1419" s="218"/>
      <c r="J1419" s="218"/>
      <c r="K1419" s="218"/>
      <c r="L1419" s="218"/>
      <c r="M1419" s="281">
        <f>E1419</f>
        <v>4</v>
      </c>
    </row>
    <row r="1420" spans="1:13" x14ac:dyDescent="0.2">
      <c r="A1420" s="231"/>
      <c r="B1420" s="9"/>
      <c r="C1420" s="7"/>
      <c r="D1420" s="17"/>
      <c r="E1420" s="218"/>
      <c r="F1420" s="218"/>
      <c r="G1420" s="218"/>
      <c r="H1420" s="218"/>
      <c r="I1420" s="218"/>
      <c r="J1420" s="218"/>
      <c r="K1420" s="218"/>
      <c r="L1420" s="218"/>
      <c r="M1420" s="281"/>
    </row>
    <row r="1421" spans="1:13" x14ac:dyDescent="0.2">
      <c r="A1421" s="231"/>
      <c r="B1421" s="9"/>
      <c r="C1421" s="7"/>
      <c r="D1421" s="17"/>
      <c r="E1421" s="218"/>
      <c r="F1421" s="218"/>
      <c r="G1421" s="218"/>
      <c r="H1421" s="218"/>
      <c r="I1421" s="218"/>
      <c r="J1421" s="218"/>
      <c r="K1421" s="218"/>
      <c r="L1421" s="218"/>
      <c r="M1421" s="281"/>
    </row>
    <row r="1422" spans="1:13" ht="96" x14ac:dyDescent="0.2">
      <c r="A1422" s="231" t="s">
        <v>140</v>
      </c>
      <c r="B1422" s="9" t="s">
        <v>1027</v>
      </c>
      <c r="C1422" s="7" t="s">
        <v>296</v>
      </c>
      <c r="D1422" s="17" t="s">
        <v>16</v>
      </c>
      <c r="E1422" s="218"/>
      <c r="F1422" s="218"/>
      <c r="G1422" s="218"/>
      <c r="H1422" s="218"/>
      <c r="I1422" s="218"/>
      <c r="J1422" s="218"/>
      <c r="K1422" s="218"/>
      <c r="L1422" s="218"/>
      <c r="M1422" s="272">
        <f>SUM(M1423,M1428)</f>
        <v>8</v>
      </c>
    </row>
    <row r="1423" spans="1:13" x14ac:dyDescent="0.2">
      <c r="A1423" s="231"/>
      <c r="B1423" s="9"/>
      <c r="C1423" s="7" t="s">
        <v>151</v>
      </c>
      <c r="D1423" s="17"/>
      <c r="E1423" s="218"/>
      <c r="F1423" s="218"/>
      <c r="G1423" s="218"/>
      <c r="H1423" s="218"/>
      <c r="I1423" s="218"/>
      <c r="J1423" s="218"/>
      <c r="K1423" s="218"/>
      <c r="L1423" s="218"/>
      <c r="M1423" s="281">
        <f>SUM(M1424:M1426)</f>
        <v>3</v>
      </c>
    </row>
    <row r="1424" spans="1:13" x14ac:dyDescent="0.2">
      <c r="A1424" s="231"/>
      <c r="B1424" s="9"/>
      <c r="C1424" s="7" t="s">
        <v>437</v>
      </c>
      <c r="D1424" s="17"/>
      <c r="E1424" s="218">
        <v>1</v>
      </c>
      <c r="F1424" s="218"/>
      <c r="G1424" s="218"/>
      <c r="H1424" s="218"/>
      <c r="I1424" s="218"/>
      <c r="J1424" s="218"/>
      <c r="K1424" s="218"/>
      <c r="L1424" s="218"/>
      <c r="M1424" s="281">
        <f>E1424</f>
        <v>1</v>
      </c>
    </row>
    <row r="1425" spans="1:13" x14ac:dyDescent="0.2">
      <c r="A1425" s="231"/>
      <c r="B1425" s="9"/>
      <c r="C1425" s="7" t="s">
        <v>438</v>
      </c>
      <c r="D1425" s="17"/>
      <c r="E1425" s="218">
        <v>1</v>
      </c>
      <c r="F1425" s="218"/>
      <c r="G1425" s="218"/>
      <c r="H1425" s="218"/>
      <c r="I1425" s="218"/>
      <c r="J1425" s="218"/>
      <c r="K1425" s="218"/>
      <c r="L1425" s="218"/>
      <c r="M1425" s="281">
        <f>E1425</f>
        <v>1</v>
      </c>
    </row>
    <row r="1426" spans="1:13" x14ac:dyDescent="0.2">
      <c r="A1426" s="231"/>
      <c r="B1426" s="9"/>
      <c r="C1426" s="7" t="s">
        <v>659</v>
      </c>
      <c r="D1426" s="17"/>
      <c r="E1426" s="218">
        <v>1</v>
      </c>
      <c r="F1426" s="218"/>
      <c r="G1426" s="218"/>
      <c r="H1426" s="218"/>
      <c r="I1426" s="218"/>
      <c r="J1426" s="218"/>
      <c r="K1426" s="218"/>
      <c r="L1426" s="218"/>
      <c r="M1426" s="281">
        <f>E1426</f>
        <v>1</v>
      </c>
    </row>
    <row r="1427" spans="1:13" x14ac:dyDescent="0.2">
      <c r="A1427" s="231"/>
      <c r="B1427" s="9"/>
      <c r="C1427" s="7"/>
      <c r="D1427" s="17"/>
      <c r="E1427" s="218"/>
      <c r="F1427" s="218"/>
      <c r="G1427" s="218"/>
      <c r="H1427" s="218"/>
      <c r="I1427" s="218"/>
      <c r="J1427" s="218"/>
      <c r="K1427" s="218"/>
      <c r="L1427" s="218"/>
      <c r="M1427" s="277"/>
    </row>
    <row r="1428" spans="1:13" x14ac:dyDescent="0.2">
      <c r="A1428" s="231"/>
      <c r="B1428" s="9"/>
      <c r="C1428" s="7" t="s">
        <v>152</v>
      </c>
      <c r="D1428" s="17"/>
      <c r="E1428" s="218"/>
      <c r="F1428" s="218"/>
      <c r="G1428" s="218"/>
      <c r="H1428" s="218"/>
      <c r="I1428" s="218"/>
      <c r="J1428" s="218"/>
      <c r="K1428" s="218"/>
      <c r="L1428" s="218"/>
      <c r="M1428" s="277">
        <f>SUM(M1429:M1430)</f>
        <v>5</v>
      </c>
    </row>
    <row r="1429" spans="1:13" x14ac:dyDescent="0.2">
      <c r="A1429" s="231"/>
      <c r="B1429" s="9"/>
      <c r="C1429" s="7" t="s">
        <v>660</v>
      </c>
      <c r="D1429" s="17"/>
      <c r="E1429" s="218">
        <v>1</v>
      </c>
      <c r="F1429" s="218"/>
      <c r="G1429" s="218"/>
      <c r="H1429" s="218"/>
      <c r="I1429" s="218"/>
      <c r="J1429" s="218"/>
      <c r="K1429" s="218"/>
      <c r="L1429" s="218"/>
      <c r="M1429" s="281">
        <f>E1429</f>
        <v>1</v>
      </c>
    </row>
    <row r="1430" spans="1:13" x14ac:dyDescent="0.2">
      <c r="A1430" s="231"/>
      <c r="B1430" s="9"/>
      <c r="C1430" s="7" t="s">
        <v>441</v>
      </c>
      <c r="D1430" s="17"/>
      <c r="E1430" s="218">
        <v>4</v>
      </c>
      <c r="F1430" s="218"/>
      <c r="G1430" s="218"/>
      <c r="H1430" s="218"/>
      <c r="I1430" s="218"/>
      <c r="J1430" s="218"/>
      <c r="K1430" s="218"/>
      <c r="L1430" s="218"/>
      <c r="M1430" s="281">
        <f>E1430</f>
        <v>4</v>
      </c>
    </row>
    <row r="1431" spans="1:13" x14ac:dyDescent="0.2">
      <c r="A1431" s="231"/>
      <c r="B1431" s="9"/>
      <c r="C1431" s="7"/>
      <c r="D1431" s="17"/>
      <c r="E1431" s="218"/>
      <c r="F1431" s="218"/>
      <c r="G1431" s="218"/>
      <c r="H1431" s="218"/>
      <c r="I1431" s="218"/>
      <c r="J1431" s="218"/>
      <c r="K1431" s="218"/>
      <c r="L1431" s="218"/>
      <c r="M1431" s="277"/>
    </row>
    <row r="1432" spans="1:13" x14ac:dyDescent="0.2">
      <c r="A1432" s="231"/>
      <c r="B1432" s="9"/>
      <c r="C1432" s="7"/>
      <c r="D1432" s="17"/>
      <c r="E1432" s="218"/>
      <c r="F1432" s="218"/>
      <c r="G1432" s="218"/>
      <c r="H1432" s="218"/>
      <c r="I1432" s="218"/>
      <c r="J1432" s="218"/>
      <c r="K1432" s="218"/>
      <c r="L1432" s="218"/>
      <c r="M1432" s="277"/>
    </row>
    <row r="1433" spans="1:13" ht="48" x14ac:dyDescent="0.2">
      <c r="A1433" s="231" t="s">
        <v>689</v>
      </c>
      <c r="B1433" s="9" t="s">
        <v>1028</v>
      </c>
      <c r="C1433" s="7" t="s">
        <v>690</v>
      </c>
      <c r="D1433" s="17" t="s">
        <v>16</v>
      </c>
      <c r="E1433" s="218"/>
      <c r="F1433" s="218"/>
      <c r="G1433" s="218"/>
      <c r="H1433" s="218"/>
      <c r="I1433" s="218"/>
      <c r="J1433" s="218"/>
      <c r="K1433" s="218"/>
      <c r="L1433" s="218"/>
      <c r="M1433" s="272">
        <f>SUM(M1434,M1437)</f>
        <v>2</v>
      </c>
    </row>
    <row r="1434" spans="1:13" x14ac:dyDescent="0.2">
      <c r="A1434" s="231"/>
      <c r="B1434" s="9"/>
      <c r="C1434" s="7" t="s">
        <v>151</v>
      </c>
      <c r="D1434" s="17"/>
      <c r="E1434" s="218"/>
      <c r="F1434" s="218"/>
      <c r="G1434" s="218"/>
      <c r="H1434" s="218"/>
      <c r="I1434" s="218"/>
      <c r="J1434" s="218"/>
      <c r="K1434" s="218"/>
      <c r="L1434" s="218"/>
      <c r="M1434" s="277">
        <f>SUM(M1435)</f>
        <v>1</v>
      </c>
    </row>
    <row r="1435" spans="1:13" x14ac:dyDescent="0.2">
      <c r="A1435" s="231"/>
      <c r="B1435" s="9"/>
      <c r="C1435" s="7" t="s">
        <v>165</v>
      </c>
      <c r="D1435" s="17"/>
      <c r="E1435" s="218">
        <v>1</v>
      </c>
      <c r="F1435" s="218"/>
      <c r="G1435" s="218"/>
      <c r="H1435" s="218"/>
      <c r="I1435" s="218"/>
      <c r="J1435" s="218"/>
      <c r="K1435" s="218"/>
      <c r="L1435" s="218"/>
      <c r="M1435" s="281">
        <f>E1435</f>
        <v>1</v>
      </c>
    </row>
    <row r="1436" spans="1:13" x14ac:dyDescent="0.2">
      <c r="A1436" s="231"/>
      <c r="B1436" s="9"/>
      <c r="C1436" s="7"/>
      <c r="D1436" s="17"/>
      <c r="E1436" s="218"/>
      <c r="F1436" s="218"/>
      <c r="G1436" s="218"/>
      <c r="H1436" s="218"/>
      <c r="I1436" s="218"/>
      <c r="J1436" s="218"/>
      <c r="K1436" s="218"/>
      <c r="L1436" s="218"/>
      <c r="M1436" s="277"/>
    </row>
    <row r="1437" spans="1:13" x14ac:dyDescent="0.2">
      <c r="A1437" s="231"/>
      <c r="B1437" s="9"/>
      <c r="C1437" s="7" t="s">
        <v>152</v>
      </c>
      <c r="D1437" s="17"/>
      <c r="E1437" s="218"/>
      <c r="F1437" s="218"/>
      <c r="G1437" s="218"/>
      <c r="H1437" s="218"/>
      <c r="I1437" s="218"/>
      <c r="J1437" s="218"/>
      <c r="K1437" s="218"/>
      <c r="L1437" s="218"/>
      <c r="M1437" s="277">
        <f>SUM(M1438:M1440)</f>
        <v>1</v>
      </c>
    </row>
    <row r="1438" spans="1:13" x14ac:dyDescent="0.2">
      <c r="A1438" s="231"/>
      <c r="B1438" s="9"/>
      <c r="C1438" s="7" t="s">
        <v>171</v>
      </c>
      <c r="D1438" s="17"/>
      <c r="E1438" s="218">
        <v>1</v>
      </c>
      <c r="F1438" s="218"/>
      <c r="G1438" s="218"/>
      <c r="H1438" s="218"/>
      <c r="I1438" s="218"/>
      <c r="J1438" s="218"/>
      <c r="K1438" s="218"/>
      <c r="L1438" s="218"/>
      <c r="M1438" s="281">
        <f>E1438</f>
        <v>1</v>
      </c>
    </row>
    <row r="1439" spans="1:13" x14ac:dyDescent="0.2">
      <c r="A1439" s="231"/>
      <c r="B1439" s="9"/>
      <c r="C1439" s="7"/>
      <c r="D1439" s="17"/>
      <c r="E1439" s="218"/>
      <c r="F1439" s="218"/>
      <c r="G1439" s="218"/>
      <c r="H1439" s="218"/>
      <c r="I1439" s="218"/>
      <c r="J1439" s="218"/>
      <c r="K1439" s="218"/>
      <c r="L1439" s="218"/>
      <c r="M1439" s="277"/>
    </row>
    <row r="1440" spans="1:13" x14ac:dyDescent="0.2">
      <c r="A1440" s="231"/>
      <c r="B1440" s="9"/>
      <c r="C1440" s="7"/>
      <c r="D1440" s="17"/>
      <c r="E1440" s="218"/>
      <c r="F1440" s="218"/>
      <c r="G1440" s="218"/>
      <c r="H1440" s="218"/>
      <c r="I1440" s="218"/>
      <c r="J1440" s="218"/>
      <c r="K1440" s="218"/>
      <c r="L1440" s="218"/>
      <c r="M1440" s="277"/>
    </row>
    <row r="1441" spans="1:13" ht="36" x14ac:dyDescent="0.2">
      <c r="A1441" s="231" t="s">
        <v>691</v>
      </c>
      <c r="B1441" s="9" t="s">
        <v>1029</v>
      </c>
      <c r="C1441" s="7" t="s">
        <v>692</v>
      </c>
      <c r="D1441" s="17" t="s">
        <v>16</v>
      </c>
      <c r="E1441" s="218"/>
      <c r="F1441" s="218"/>
      <c r="G1441" s="218"/>
      <c r="H1441" s="218"/>
      <c r="I1441" s="218"/>
      <c r="J1441" s="218"/>
      <c r="K1441" s="218"/>
      <c r="L1441" s="218"/>
      <c r="M1441" s="272">
        <f>SUM(M1442,M1445)</f>
        <v>2</v>
      </c>
    </row>
    <row r="1442" spans="1:13" x14ac:dyDescent="0.2">
      <c r="A1442" s="231"/>
      <c r="B1442" s="9"/>
      <c r="C1442" s="7" t="s">
        <v>151</v>
      </c>
      <c r="D1442" s="17"/>
      <c r="E1442" s="218"/>
      <c r="F1442" s="218"/>
      <c r="G1442" s="218"/>
      <c r="H1442" s="218"/>
      <c r="I1442" s="218"/>
      <c r="J1442" s="218"/>
      <c r="K1442" s="218"/>
      <c r="L1442" s="218"/>
      <c r="M1442" s="277">
        <f>SUM(M1443)</f>
        <v>1</v>
      </c>
    </row>
    <row r="1443" spans="1:13" x14ac:dyDescent="0.2">
      <c r="A1443" s="231"/>
      <c r="B1443" s="9"/>
      <c r="C1443" s="7" t="s">
        <v>165</v>
      </c>
      <c r="D1443" s="17"/>
      <c r="E1443" s="218">
        <v>1</v>
      </c>
      <c r="F1443" s="218"/>
      <c r="G1443" s="218"/>
      <c r="H1443" s="218"/>
      <c r="I1443" s="218"/>
      <c r="J1443" s="218"/>
      <c r="K1443" s="218"/>
      <c r="L1443" s="218"/>
      <c r="M1443" s="281">
        <f>E1443</f>
        <v>1</v>
      </c>
    </row>
    <row r="1444" spans="1:13" x14ac:dyDescent="0.2">
      <c r="A1444" s="231"/>
      <c r="B1444" s="9"/>
      <c r="C1444" s="7"/>
      <c r="D1444" s="17"/>
      <c r="E1444" s="218"/>
      <c r="F1444" s="218"/>
      <c r="G1444" s="218"/>
      <c r="H1444" s="218"/>
      <c r="I1444" s="218"/>
      <c r="J1444" s="218"/>
      <c r="K1444" s="218"/>
      <c r="L1444" s="218"/>
      <c r="M1444" s="277"/>
    </row>
    <row r="1445" spans="1:13" x14ac:dyDescent="0.2">
      <c r="A1445" s="231"/>
      <c r="B1445" s="9"/>
      <c r="C1445" s="7" t="s">
        <v>152</v>
      </c>
      <c r="D1445" s="17"/>
      <c r="E1445" s="218"/>
      <c r="F1445" s="218"/>
      <c r="G1445" s="218"/>
      <c r="H1445" s="218"/>
      <c r="I1445" s="218"/>
      <c r="J1445" s="218"/>
      <c r="K1445" s="218"/>
      <c r="L1445" s="218"/>
      <c r="M1445" s="277">
        <f>SUM(M1446)</f>
        <v>1</v>
      </c>
    </row>
    <row r="1446" spans="1:13" x14ac:dyDescent="0.2">
      <c r="A1446" s="231"/>
      <c r="B1446" s="9"/>
      <c r="C1446" s="7" t="s">
        <v>171</v>
      </c>
      <c r="D1446" s="17"/>
      <c r="E1446" s="218">
        <v>1</v>
      </c>
      <c r="F1446" s="218"/>
      <c r="G1446" s="218"/>
      <c r="H1446" s="218"/>
      <c r="I1446" s="218"/>
      <c r="J1446" s="218"/>
      <c r="K1446" s="218"/>
      <c r="L1446" s="218"/>
      <c r="M1446" s="281">
        <f>E1446</f>
        <v>1</v>
      </c>
    </row>
    <row r="1447" spans="1:13" x14ac:dyDescent="0.2">
      <c r="A1447" s="231"/>
      <c r="B1447" s="9"/>
      <c r="C1447" s="7"/>
      <c r="D1447" s="17"/>
      <c r="E1447" s="218"/>
      <c r="F1447" s="218"/>
      <c r="G1447" s="218"/>
      <c r="H1447" s="218"/>
      <c r="I1447" s="218"/>
      <c r="J1447" s="218"/>
      <c r="K1447" s="218"/>
      <c r="L1447" s="218"/>
      <c r="M1447" s="277"/>
    </row>
    <row r="1448" spans="1:13" x14ac:dyDescent="0.2">
      <c r="A1448" s="231"/>
      <c r="B1448" s="9"/>
      <c r="C1448" s="7"/>
      <c r="D1448" s="17"/>
      <c r="E1448" s="218"/>
      <c r="F1448" s="218"/>
      <c r="G1448" s="218"/>
      <c r="H1448" s="218"/>
      <c r="I1448" s="218"/>
      <c r="J1448" s="218"/>
      <c r="K1448" s="218"/>
      <c r="L1448" s="218"/>
      <c r="M1448" s="277"/>
    </row>
    <row r="1449" spans="1:13" ht="48" x14ac:dyDescent="0.2">
      <c r="A1449" s="231">
        <v>86903</v>
      </c>
      <c r="B1449" s="9" t="s">
        <v>1030</v>
      </c>
      <c r="C1449" s="7" t="s">
        <v>693</v>
      </c>
      <c r="D1449" s="17" t="s">
        <v>16</v>
      </c>
      <c r="E1449" s="218"/>
      <c r="F1449" s="218"/>
      <c r="G1449" s="218"/>
      <c r="H1449" s="218"/>
      <c r="I1449" s="218"/>
      <c r="J1449" s="218"/>
      <c r="K1449" s="218"/>
      <c r="L1449" s="218"/>
      <c r="M1449" s="272">
        <f>SUM(M1450)</f>
        <v>1</v>
      </c>
    </row>
    <row r="1450" spans="1:13" x14ac:dyDescent="0.2">
      <c r="A1450" s="231"/>
      <c r="B1450" s="9"/>
      <c r="C1450" s="7" t="s">
        <v>151</v>
      </c>
      <c r="D1450" s="17"/>
      <c r="E1450" s="218"/>
      <c r="F1450" s="218"/>
      <c r="G1450" s="218"/>
      <c r="H1450" s="218"/>
      <c r="I1450" s="218"/>
      <c r="J1450" s="218"/>
      <c r="K1450" s="218"/>
      <c r="L1450" s="218"/>
      <c r="M1450" s="277">
        <f>SUM(M1451:M1453)</f>
        <v>1</v>
      </c>
    </row>
    <row r="1451" spans="1:13" x14ac:dyDescent="0.2">
      <c r="A1451" s="231"/>
      <c r="B1451" s="9"/>
      <c r="C1451" s="7" t="s">
        <v>438</v>
      </c>
      <c r="D1451" s="17"/>
      <c r="E1451" s="218">
        <v>1</v>
      </c>
      <c r="F1451" s="218"/>
      <c r="G1451" s="218"/>
      <c r="H1451" s="218"/>
      <c r="I1451" s="218"/>
      <c r="J1451" s="218"/>
      <c r="K1451" s="218"/>
      <c r="L1451" s="218"/>
      <c r="M1451" s="281">
        <f>E1451</f>
        <v>1</v>
      </c>
    </row>
    <row r="1452" spans="1:13" x14ac:dyDescent="0.2">
      <c r="A1452" s="231"/>
      <c r="B1452" s="9"/>
      <c r="C1452" s="7"/>
      <c r="D1452" s="17"/>
      <c r="E1452" s="218"/>
      <c r="F1452" s="218"/>
      <c r="G1452" s="218"/>
      <c r="H1452" s="218"/>
      <c r="I1452" s="218"/>
      <c r="J1452" s="218"/>
      <c r="K1452" s="218"/>
      <c r="L1452" s="218"/>
      <c r="M1452" s="277"/>
    </row>
    <row r="1453" spans="1:13" x14ac:dyDescent="0.2">
      <c r="A1453" s="231"/>
      <c r="B1453" s="9"/>
      <c r="C1453" s="7"/>
      <c r="D1453" s="17"/>
      <c r="E1453" s="218"/>
      <c r="F1453" s="218"/>
      <c r="G1453" s="218"/>
      <c r="H1453" s="218"/>
      <c r="I1453" s="218"/>
      <c r="J1453" s="218"/>
      <c r="K1453" s="218"/>
      <c r="L1453" s="218"/>
      <c r="M1453" s="277"/>
    </row>
    <row r="1454" spans="1:13" ht="60" x14ac:dyDescent="0.2">
      <c r="A1454" s="231" t="s">
        <v>139</v>
      </c>
      <c r="B1454" s="9" t="s">
        <v>1031</v>
      </c>
      <c r="C1454" s="7" t="s">
        <v>694</v>
      </c>
      <c r="D1454" s="17" t="s">
        <v>16</v>
      </c>
      <c r="E1454" s="218"/>
      <c r="F1454" s="218"/>
      <c r="G1454" s="218"/>
      <c r="H1454" s="218"/>
      <c r="I1454" s="218"/>
      <c r="J1454" s="218"/>
      <c r="K1454" s="218"/>
      <c r="L1454" s="218"/>
      <c r="M1454" s="272">
        <f>SUM(M1455)</f>
        <v>1</v>
      </c>
    </row>
    <row r="1455" spans="1:13" x14ac:dyDescent="0.2">
      <c r="A1455" s="231"/>
      <c r="B1455" s="9"/>
      <c r="C1455" s="7" t="s">
        <v>151</v>
      </c>
      <c r="D1455" s="17"/>
      <c r="E1455" s="218"/>
      <c r="F1455" s="218"/>
      <c r="G1455" s="218"/>
      <c r="H1455" s="218"/>
      <c r="I1455" s="218"/>
      <c r="J1455" s="218"/>
      <c r="K1455" s="218"/>
      <c r="L1455" s="218"/>
      <c r="M1455" s="277">
        <f>SUM(M1456)</f>
        <v>1</v>
      </c>
    </row>
    <row r="1456" spans="1:13" x14ac:dyDescent="0.2">
      <c r="A1456" s="236"/>
      <c r="B1456" s="327"/>
      <c r="C1456" s="328" t="s">
        <v>428</v>
      </c>
      <c r="D1456" s="329"/>
      <c r="E1456" s="354">
        <v>1</v>
      </c>
      <c r="F1456" s="354"/>
      <c r="G1456" s="354"/>
      <c r="H1456" s="354"/>
      <c r="I1456" s="354"/>
      <c r="J1456" s="354"/>
      <c r="K1456" s="354"/>
      <c r="L1456" s="354"/>
      <c r="M1456" s="340">
        <f>E1456</f>
        <v>1</v>
      </c>
    </row>
    <row r="1457" spans="1:13" x14ac:dyDescent="0.2">
      <c r="A1457" s="231"/>
      <c r="B1457" s="9"/>
      <c r="C1457" s="7"/>
      <c r="D1457" s="17"/>
      <c r="E1457" s="218"/>
      <c r="F1457" s="218"/>
      <c r="G1457" s="218"/>
      <c r="H1457" s="218"/>
      <c r="I1457" s="218"/>
      <c r="J1457" s="218"/>
      <c r="K1457" s="218"/>
      <c r="L1457" s="218"/>
      <c r="M1457" s="281"/>
    </row>
    <row r="1458" spans="1:13" x14ac:dyDescent="0.2">
      <c r="A1458" s="231"/>
      <c r="B1458" s="9"/>
      <c r="C1458" s="7"/>
      <c r="D1458" s="17"/>
      <c r="E1458" s="218"/>
      <c r="F1458" s="218"/>
      <c r="G1458" s="218"/>
      <c r="H1458" s="218"/>
      <c r="I1458" s="218"/>
      <c r="J1458" s="218"/>
      <c r="K1458" s="218"/>
      <c r="L1458" s="218"/>
      <c r="M1458" s="281"/>
    </row>
    <row r="1459" spans="1:13" ht="48" x14ac:dyDescent="0.2">
      <c r="A1459" s="231" t="s">
        <v>141</v>
      </c>
      <c r="B1459" s="9" t="s">
        <v>1032</v>
      </c>
      <c r="C1459" s="7" t="s">
        <v>297</v>
      </c>
      <c r="D1459" s="17" t="s">
        <v>16</v>
      </c>
      <c r="E1459" s="218"/>
      <c r="F1459" s="218"/>
      <c r="G1459" s="218"/>
      <c r="H1459" s="218"/>
      <c r="I1459" s="218"/>
      <c r="J1459" s="218"/>
      <c r="K1459" s="218"/>
      <c r="L1459" s="218"/>
      <c r="M1459" s="272">
        <f>SUM(M1460)</f>
        <v>1</v>
      </c>
    </row>
    <row r="1460" spans="1:13" x14ac:dyDescent="0.2">
      <c r="A1460" s="231"/>
      <c r="B1460" s="9"/>
      <c r="C1460" s="7" t="s">
        <v>151</v>
      </c>
      <c r="D1460" s="17"/>
      <c r="E1460" s="218"/>
      <c r="F1460" s="218"/>
      <c r="G1460" s="218"/>
      <c r="H1460" s="218"/>
      <c r="I1460" s="218"/>
      <c r="J1460" s="218"/>
      <c r="K1460" s="218"/>
      <c r="L1460" s="218"/>
      <c r="M1460" s="277">
        <f>SUM(M1461)</f>
        <v>1</v>
      </c>
    </row>
    <row r="1461" spans="1:13" x14ac:dyDescent="0.2">
      <c r="A1461" s="231"/>
      <c r="B1461" s="9"/>
      <c r="C1461" s="7" t="s">
        <v>428</v>
      </c>
      <c r="D1461" s="17"/>
      <c r="E1461" s="218">
        <v>1</v>
      </c>
      <c r="F1461" s="218"/>
      <c r="G1461" s="218"/>
      <c r="H1461" s="218"/>
      <c r="I1461" s="218"/>
      <c r="J1461" s="218"/>
      <c r="K1461" s="218"/>
      <c r="L1461" s="218"/>
      <c r="M1461" s="273">
        <f>E1461</f>
        <v>1</v>
      </c>
    </row>
    <row r="1462" spans="1:13" x14ac:dyDescent="0.2">
      <c r="A1462" s="231"/>
      <c r="B1462" s="9"/>
      <c r="C1462" s="7"/>
      <c r="D1462" s="17"/>
      <c r="E1462" s="218"/>
      <c r="F1462" s="218"/>
      <c r="G1462" s="218"/>
      <c r="H1462" s="218"/>
      <c r="I1462" s="218"/>
      <c r="J1462" s="218"/>
      <c r="K1462" s="218"/>
      <c r="L1462" s="218"/>
      <c r="M1462" s="273"/>
    </row>
    <row r="1463" spans="1:13" x14ac:dyDescent="0.2">
      <c r="A1463" s="231"/>
      <c r="B1463" s="9"/>
      <c r="C1463" s="7"/>
      <c r="D1463" s="17"/>
      <c r="E1463" s="218"/>
      <c r="F1463" s="218"/>
      <c r="G1463" s="218"/>
      <c r="H1463" s="218"/>
      <c r="I1463" s="218"/>
      <c r="J1463" s="218"/>
      <c r="K1463" s="218"/>
      <c r="L1463" s="218"/>
      <c r="M1463" s="273"/>
    </row>
    <row r="1464" spans="1:13" ht="48" x14ac:dyDescent="0.2">
      <c r="A1464" s="231" t="s">
        <v>146</v>
      </c>
      <c r="B1464" s="9" t="s">
        <v>1033</v>
      </c>
      <c r="C1464" s="7" t="s">
        <v>147</v>
      </c>
      <c r="D1464" s="17" t="s">
        <v>16</v>
      </c>
      <c r="E1464" s="218"/>
      <c r="F1464" s="218"/>
      <c r="G1464" s="218"/>
      <c r="H1464" s="218"/>
      <c r="I1464" s="218"/>
      <c r="J1464" s="218"/>
      <c r="K1464" s="218"/>
      <c r="L1464" s="218"/>
      <c r="M1464" s="272">
        <f>SUM(M1465)</f>
        <v>4</v>
      </c>
    </row>
    <row r="1465" spans="1:13" x14ac:dyDescent="0.2">
      <c r="A1465" s="231"/>
      <c r="B1465" s="9"/>
      <c r="C1465" s="7" t="s">
        <v>151</v>
      </c>
      <c r="D1465" s="17"/>
      <c r="E1465" s="218"/>
      <c r="F1465" s="218"/>
      <c r="G1465" s="218"/>
      <c r="H1465" s="218"/>
      <c r="I1465" s="218"/>
      <c r="J1465" s="218"/>
      <c r="K1465" s="218"/>
      <c r="L1465" s="218"/>
      <c r="M1465" s="277">
        <f>SUM(M1466)</f>
        <v>4</v>
      </c>
    </row>
    <row r="1466" spans="1:13" x14ac:dyDescent="0.2">
      <c r="A1466" s="231"/>
      <c r="B1466" s="9"/>
      <c r="C1466" s="7" t="s">
        <v>428</v>
      </c>
      <c r="D1466" s="17"/>
      <c r="E1466" s="218">
        <v>4</v>
      </c>
      <c r="F1466" s="218"/>
      <c r="G1466" s="218"/>
      <c r="H1466" s="218"/>
      <c r="I1466" s="218"/>
      <c r="J1466" s="218"/>
      <c r="K1466" s="218"/>
      <c r="L1466" s="218"/>
      <c r="M1466" s="273">
        <f>E1466</f>
        <v>4</v>
      </c>
    </row>
    <row r="1467" spans="1:13" x14ac:dyDescent="0.2">
      <c r="A1467" s="231"/>
      <c r="B1467" s="9"/>
      <c r="C1467" s="7"/>
      <c r="D1467" s="17"/>
      <c r="E1467" s="218"/>
      <c r="F1467" s="218"/>
      <c r="G1467" s="218"/>
      <c r="H1467" s="218"/>
      <c r="I1467" s="218"/>
      <c r="J1467" s="218"/>
      <c r="K1467" s="218"/>
      <c r="L1467" s="218"/>
      <c r="M1467" s="273"/>
    </row>
    <row r="1468" spans="1:13" x14ac:dyDescent="0.2">
      <c r="A1468" s="231"/>
      <c r="B1468" s="9"/>
      <c r="C1468" s="7"/>
      <c r="D1468" s="17"/>
      <c r="E1468" s="218"/>
      <c r="F1468" s="218"/>
      <c r="G1468" s="218"/>
      <c r="H1468" s="218"/>
      <c r="I1468" s="218"/>
      <c r="J1468" s="218"/>
      <c r="K1468" s="218"/>
      <c r="L1468" s="218"/>
      <c r="M1468" s="273"/>
    </row>
    <row r="1469" spans="1:13" ht="36" x14ac:dyDescent="0.2">
      <c r="A1469" s="231" t="s">
        <v>148</v>
      </c>
      <c r="B1469" s="9" t="s">
        <v>1034</v>
      </c>
      <c r="C1469" s="7" t="s">
        <v>695</v>
      </c>
      <c r="D1469" s="17" t="s">
        <v>16</v>
      </c>
      <c r="E1469" s="218"/>
      <c r="F1469" s="218"/>
      <c r="G1469" s="218"/>
      <c r="H1469" s="218"/>
      <c r="I1469" s="218"/>
      <c r="J1469" s="218"/>
      <c r="K1469" s="218"/>
      <c r="L1469" s="218"/>
      <c r="M1469" s="272">
        <f>SUM(M1470)</f>
        <v>2</v>
      </c>
    </row>
    <row r="1470" spans="1:13" x14ac:dyDescent="0.2">
      <c r="A1470" s="231"/>
      <c r="B1470" s="9"/>
      <c r="C1470" s="7" t="s">
        <v>151</v>
      </c>
      <c r="D1470" s="17"/>
      <c r="E1470" s="218"/>
      <c r="F1470" s="218"/>
      <c r="G1470" s="218"/>
      <c r="H1470" s="218"/>
      <c r="I1470" s="218"/>
      <c r="J1470" s="218"/>
      <c r="K1470" s="218"/>
      <c r="L1470" s="218"/>
      <c r="M1470" s="277">
        <f>SUM(M1471)</f>
        <v>2</v>
      </c>
    </row>
    <row r="1471" spans="1:13" x14ac:dyDescent="0.2">
      <c r="A1471" s="231"/>
      <c r="B1471" s="9"/>
      <c r="C1471" s="7" t="s">
        <v>428</v>
      </c>
      <c r="D1471" s="17"/>
      <c r="E1471" s="218">
        <v>2</v>
      </c>
      <c r="F1471" s="218"/>
      <c r="G1471" s="218"/>
      <c r="H1471" s="218"/>
      <c r="I1471" s="218"/>
      <c r="J1471" s="218"/>
      <c r="K1471" s="218"/>
      <c r="L1471" s="218"/>
      <c r="M1471" s="273">
        <f>E1471</f>
        <v>2</v>
      </c>
    </row>
    <row r="1472" spans="1:13" x14ac:dyDescent="0.2">
      <c r="A1472" s="231"/>
      <c r="B1472" s="9"/>
      <c r="C1472" s="7"/>
      <c r="D1472" s="17"/>
      <c r="E1472" s="218"/>
      <c r="F1472" s="218"/>
      <c r="G1472" s="218"/>
      <c r="H1472" s="218"/>
      <c r="I1472" s="218"/>
      <c r="J1472" s="218"/>
      <c r="K1472" s="218"/>
      <c r="L1472" s="218"/>
      <c r="M1472" s="273"/>
    </row>
    <row r="1473" spans="1:13" x14ac:dyDescent="0.2">
      <c r="A1473" s="231"/>
      <c r="B1473" s="9"/>
      <c r="C1473" s="7"/>
      <c r="D1473" s="17"/>
      <c r="E1473" s="218"/>
      <c r="F1473" s="218"/>
      <c r="G1473" s="218"/>
      <c r="H1473" s="218"/>
      <c r="I1473" s="218"/>
      <c r="J1473" s="218"/>
      <c r="K1473" s="218"/>
      <c r="L1473" s="218"/>
      <c r="M1473" s="273"/>
    </row>
    <row r="1474" spans="1:13" ht="60" x14ac:dyDescent="0.2">
      <c r="A1474" s="231" t="s">
        <v>696</v>
      </c>
      <c r="B1474" s="9" t="s">
        <v>1035</v>
      </c>
      <c r="C1474" s="7" t="s">
        <v>697</v>
      </c>
      <c r="D1474" s="17" t="s">
        <v>16</v>
      </c>
      <c r="E1474" s="218"/>
      <c r="F1474" s="218"/>
      <c r="G1474" s="218"/>
      <c r="H1474" s="218"/>
      <c r="I1474" s="218"/>
      <c r="J1474" s="218"/>
      <c r="K1474" s="218"/>
      <c r="L1474" s="218"/>
      <c r="M1474" s="272">
        <f>SUM(M1475)</f>
        <v>0.88000000000000012</v>
      </c>
    </row>
    <row r="1475" spans="1:13" x14ac:dyDescent="0.2">
      <c r="A1475" s="231"/>
      <c r="B1475" s="9"/>
      <c r="C1475" s="7" t="s">
        <v>152</v>
      </c>
      <c r="D1475" s="17"/>
      <c r="E1475" s="218"/>
      <c r="F1475" s="218"/>
      <c r="G1475" s="218"/>
      <c r="H1475" s="218"/>
      <c r="I1475" s="218"/>
      <c r="J1475" s="218"/>
      <c r="K1475" s="218"/>
      <c r="L1475" s="218"/>
      <c r="M1475" s="282">
        <f>SUM(M1476)</f>
        <v>0.88000000000000012</v>
      </c>
    </row>
    <row r="1476" spans="1:13" x14ac:dyDescent="0.2">
      <c r="A1476" s="231"/>
      <c r="B1476" s="9"/>
      <c r="C1476" s="7" t="s">
        <v>441</v>
      </c>
      <c r="D1476" s="17"/>
      <c r="E1476" s="218">
        <v>2</v>
      </c>
      <c r="F1476" s="218">
        <v>1.1000000000000001</v>
      </c>
      <c r="G1476" s="218"/>
      <c r="H1476" s="218">
        <v>0.4</v>
      </c>
      <c r="I1476" s="218"/>
      <c r="J1476" s="218"/>
      <c r="K1476" s="218"/>
      <c r="L1476" s="218"/>
      <c r="M1476" s="273">
        <f>E1476*F1476*H1476</f>
        <v>0.88000000000000012</v>
      </c>
    </row>
    <row r="1477" spans="1:13" x14ac:dyDescent="0.2">
      <c r="A1477" s="231"/>
      <c r="B1477" s="9"/>
      <c r="C1477" s="7"/>
      <c r="D1477" s="17"/>
      <c r="E1477" s="218"/>
      <c r="F1477" s="218"/>
      <c r="G1477" s="218"/>
      <c r="H1477" s="218"/>
      <c r="I1477" s="218"/>
      <c r="J1477" s="218"/>
      <c r="K1477" s="218"/>
      <c r="L1477" s="218"/>
      <c r="M1477" s="273"/>
    </row>
    <row r="1478" spans="1:13" x14ac:dyDescent="0.2">
      <c r="A1478" s="231"/>
      <c r="B1478" s="9"/>
      <c r="C1478" s="7"/>
      <c r="D1478" s="17"/>
      <c r="E1478" s="218"/>
      <c r="F1478" s="218"/>
      <c r="G1478" s="218"/>
      <c r="H1478" s="218"/>
      <c r="I1478" s="218"/>
      <c r="J1478" s="218"/>
      <c r="K1478" s="218"/>
      <c r="L1478" s="218"/>
      <c r="M1478" s="273"/>
    </row>
    <row r="1479" spans="1:13" ht="48" x14ac:dyDescent="0.2">
      <c r="A1479" s="231" t="s">
        <v>142</v>
      </c>
      <c r="B1479" s="9" t="s">
        <v>1036</v>
      </c>
      <c r="C1479" s="7" t="s">
        <v>143</v>
      </c>
      <c r="D1479" s="17" t="s">
        <v>16</v>
      </c>
      <c r="E1479" s="218"/>
      <c r="F1479" s="218"/>
      <c r="G1479" s="218"/>
      <c r="H1479" s="218"/>
      <c r="I1479" s="218"/>
      <c r="J1479" s="218"/>
      <c r="K1479" s="218"/>
      <c r="L1479" s="218"/>
      <c r="M1479" s="272">
        <f>SUM(M1480,M1484)</f>
        <v>3</v>
      </c>
    </row>
    <row r="1480" spans="1:13" x14ac:dyDescent="0.2">
      <c r="A1480" s="231"/>
      <c r="B1480" s="9"/>
      <c r="C1480" s="7" t="s">
        <v>151</v>
      </c>
      <c r="D1480" s="17"/>
      <c r="E1480" s="218"/>
      <c r="F1480" s="218"/>
      <c r="G1480" s="218"/>
      <c r="H1480" s="218"/>
      <c r="I1480" s="218"/>
      <c r="J1480" s="218"/>
      <c r="K1480" s="218"/>
      <c r="L1480" s="218"/>
      <c r="M1480" s="277">
        <f>SUM(M1481:M1482)</f>
        <v>2</v>
      </c>
    </row>
    <row r="1481" spans="1:13" x14ac:dyDescent="0.2">
      <c r="A1481" s="231"/>
      <c r="B1481" s="9"/>
      <c r="C1481" s="7" t="s">
        <v>437</v>
      </c>
      <c r="D1481" s="17"/>
      <c r="E1481" s="218">
        <v>1</v>
      </c>
      <c r="F1481" s="218"/>
      <c r="G1481" s="218"/>
      <c r="H1481" s="218"/>
      <c r="I1481" s="218"/>
      <c r="J1481" s="218"/>
      <c r="K1481" s="218"/>
      <c r="L1481" s="218"/>
      <c r="M1481" s="281">
        <f>E1481</f>
        <v>1</v>
      </c>
    </row>
    <row r="1482" spans="1:13" x14ac:dyDescent="0.2">
      <c r="A1482" s="231"/>
      <c r="B1482" s="9"/>
      <c r="C1482" s="7" t="s">
        <v>428</v>
      </c>
      <c r="D1482" s="17"/>
      <c r="E1482" s="218">
        <v>1</v>
      </c>
      <c r="F1482" s="218"/>
      <c r="G1482" s="218"/>
      <c r="H1482" s="218"/>
      <c r="I1482" s="218"/>
      <c r="J1482" s="218"/>
      <c r="K1482" s="218"/>
      <c r="L1482" s="218"/>
      <c r="M1482" s="281">
        <f>E1482</f>
        <v>1</v>
      </c>
    </row>
    <row r="1483" spans="1:13" x14ac:dyDescent="0.2">
      <c r="A1483" s="231"/>
      <c r="B1483" s="9"/>
      <c r="C1483" s="7"/>
      <c r="D1483" s="17"/>
      <c r="E1483" s="218"/>
      <c r="F1483" s="218"/>
      <c r="G1483" s="218"/>
      <c r="H1483" s="218"/>
      <c r="I1483" s="218"/>
      <c r="J1483" s="218"/>
      <c r="K1483" s="218"/>
      <c r="L1483" s="218"/>
      <c r="M1483" s="273"/>
    </row>
    <row r="1484" spans="1:13" x14ac:dyDescent="0.2">
      <c r="A1484" s="231"/>
      <c r="B1484" s="9"/>
      <c r="C1484" s="7" t="s">
        <v>152</v>
      </c>
      <c r="D1484" s="17"/>
      <c r="E1484" s="218"/>
      <c r="F1484" s="218"/>
      <c r="G1484" s="218"/>
      <c r="H1484" s="218"/>
      <c r="I1484" s="218"/>
      <c r="J1484" s="218"/>
      <c r="K1484" s="218"/>
      <c r="L1484" s="218"/>
      <c r="M1484" s="277">
        <f>SUM(M1485:M1486)</f>
        <v>1</v>
      </c>
    </row>
    <row r="1485" spans="1:13" x14ac:dyDescent="0.2">
      <c r="A1485" s="231"/>
      <c r="B1485" s="9"/>
      <c r="C1485" s="7" t="s">
        <v>660</v>
      </c>
      <c r="D1485" s="17"/>
      <c r="E1485" s="218">
        <v>1</v>
      </c>
      <c r="F1485" s="218"/>
      <c r="G1485" s="218"/>
      <c r="H1485" s="218"/>
      <c r="I1485" s="218"/>
      <c r="J1485" s="218"/>
      <c r="K1485" s="218"/>
      <c r="L1485" s="218"/>
      <c r="M1485" s="281">
        <f>E1485</f>
        <v>1</v>
      </c>
    </row>
    <row r="1486" spans="1:13" x14ac:dyDescent="0.2">
      <c r="A1486" s="231"/>
      <c r="B1486" s="9"/>
      <c r="C1486" s="7"/>
      <c r="D1486" s="17"/>
      <c r="E1486" s="218"/>
      <c r="F1486" s="218"/>
      <c r="G1486" s="218"/>
      <c r="H1486" s="218"/>
      <c r="I1486" s="218"/>
      <c r="J1486" s="218"/>
      <c r="K1486" s="218"/>
      <c r="L1486" s="218"/>
      <c r="M1486" s="281"/>
    </row>
    <row r="1487" spans="1:13" x14ac:dyDescent="0.2">
      <c r="A1487" s="231"/>
      <c r="B1487" s="9"/>
      <c r="C1487" s="7"/>
      <c r="D1487" s="17"/>
      <c r="E1487" s="218"/>
      <c r="F1487" s="218"/>
      <c r="G1487" s="218"/>
      <c r="H1487" s="218"/>
      <c r="I1487" s="218"/>
      <c r="J1487" s="218"/>
      <c r="K1487" s="218"/>
      <c r="L1487" s="218"/>
      <c r="M1487" s="281"/>
    </row>
    <row r="1488" spans="1:13" x14ac:dyDescent="0.2">
      <c r="A1488" s="274"/>
      <c r="B1488" s="29" t="s">
        <v>247</v>
      </c>
      <c r="C1488" s="30" t="s">
        <v>133</v>
      </c>
      <c r="D1488" s="31"/>
      <c r="E1488" s="31"/>
      <c r="F1488" s="31"/>
      <c r="G1488" s="31"/>
      <c r="H1488" s="31"/>
      <c r="I1488" s="31"/>
      <c r="J1488" s="31"/>
      <c r="K1488" s="31"/>
      <c r="L1488" s="31"/>
      <c r="M1488" s="275"/>
    </row>
    <row r="1489" spans="1:13" ht="216" x14ac:dyDescent="0.2">
      <c r="A1489" s="231" t="s">
        <v>149</v>
      </c>
      <c r="B1489" s="9" t="s">
        <v>315</v>
      </c>
      <c r="C1489" s="7" t="s">
        <v>298</v>
      </c>
      <c r="D1489" s="17" t="s">
        <v>16</v>
      </c>
      <c r="E1489" s="218"/>
      <c r="F1489" s="218"/>
      <c r="G1489" s="218"/>
      <c r="H1489" s="218"/>
      <c r="I1489" s="218"/>
      <c r="J1489" s="218"/>
      <c r="K1489" s="218"/>
      <c r="L1489" s="218"/>
      <c r="M1489" s="272">
        <f>SUM(M1490)</f>
        <v>1</v>
      </c>
    </row>
    <row r="1490" spans="1:13" x14ac:dyDescent="0.2">
      <c r="A1490" s="231"/>
      <c r="B1490" s="9"/>
      <c r="C1490" s="11"/>
      <c r="D1490" s="10"/>
      <c r="E1490" s="218">
        <v>1</v>
      </c>
      <c r="F1490" s="218"/>
      <c r="G1490" s="218"/>
      <c r="H1490" s="218"/>
      <c r="I1490" s="218"/>
      <c r="J1490" s="218"/>
      <c r="K1490" s="218"/>
      <c r="L1490" s="218"/>
      <c r="M1490" s="273">
        <f>E1490</f>
        <v>1</v>
      </c>
    </row>
    <row r="1491" spans="1:13" x14ac:dyDescent="0.2">
      <c r="A1491" s="231"/>
      <c r="B1491" s="9"/>
      <c r="C1491" s="11"/>
      <c r="D1491" s="10"/>
      <c r="E1491" s="218"/>
      <c r="F1491" s="218"/>
      <c r="G1491" s="218"/>
      <c r="H1491" s="218"/>
      <c r="I1491" s="218"/>
      <c r="J1491" s="218"/>
      <c r="K1491" s="218"/>
      <c r="L1491" s="218"/>
      <c r="M1491" s="273"/>
    </row>
    <row r="1492" spans="1:13" x14ac:dyDescent="0.2">
      <c r="A1492" s="231"/>
      <c r="B1492" s="9"/>
      <c r="C1492" s="11"/>
      <c r="D1492" s="10"/>
      <c r="E1492" s="218"/>
      <c r="F1492" s="218"/>
      <c r="G1492" s="218"/>
      <c r="H1492" s="218"/>
      <c r="I1492" s="218"/>
      <c r="J1492" s="218"/>
      <c r="K1492" s="218"/>
      <c r="L1492" s="218"/>
      <c r="M1492" s="273"/>
    </row>
    <row r="1493" spans="1:13" x14ac:dyDescent="0.2">
      <c r="A1493" s="231"/>
      <c r="B1493" s="9"/>
      <c r="C1493" s="11"/>
      <c r="D1493" s="10"/>
      <c r="E1493" s="218"/>
      <c r="F1493" s="218"/>
      <c r="G1493" s="218"/>
      <c r="H1493" s="218"/>
      <c r="I1493" s="218"/>
      <c r="J1493" s="218"/>
      <c r="K1493" s="218"/>
      <c r="L1493" s="218"/>
      <c r="M1493" s="273"/>
    </row>
    <row r="1494" spans="1:13" x14ac:dyDescent="0.2">
      <c r="A1494" s="231"/>
      <c r="B1494" s="9"/>
      <c r="C1494" s="11"/>
      <c r="D1494" s="10"/>
      <c r="E1494" s="218"/>
      <c r="F1494" s="218"/>
      <c r="G1494" s="218"/>
      <c r="H1494" s="218"/>
      <c r="I1494" s="218"/>
      <c r="J1494" s="218"/>
      <c r="K1494" s="218"/>
      <c r="L1494" s="218"/>
      <c r="M1494" s="273"/>
    </row>
    <row r="1495" spans="1:13" x14ac:dyDescent="0.2">
      <c r="A1495" s="231"/>
      <c r="B1495" s="9"/>
      <c r="C1495" s="11"/>
      <c r="D1495" s="10"/>
      <c r="E1495" s="218"/>
      <c r="F1495" s="218"/>
      <c r="G1495" s="218"/>
      <c r="H1495" s="218"/>
      <c r="I1495" s="218"/>
      <c r="J1495" s="218"/>
      <c r="K1495" s="218"/>
      <c r="L1495" s="218"/>
      <c r="M1495" s="273"/>
    </row>
    <row r="1496" spans="1:13" x14ac:dyDescent="0.2">
      <c r="A1496" s="231"/>
      <c r="B1496" s="9"/>
      <c r="C1496" s="11"/>
      <c r="D1496" s="10"/>
      <c r="E1496" s="218"/>
      <c r="F1496" s="218"/>
      <c r="G1496" s="218"/>
      <c r="H1496" s="218"/>
      <c r="I1496" s="218"/>
      <c r="J1496" s="218"/>
      <c r="K1496" s="218"/>
      <c r="L1496" s="218"/>
      <c r="M1496" s="273"/>
    </row>
    <row r="1497" spans="1:13" x14ac:dyDescent="0.2">
      <c r="A1497" s="231"/>
      <c r="B1497" s="9"/>
      <c r="C1497" s="11"/>
      <c r="D1497" s="10"/>
      <c r="E1497" s="218"/>
      <c r="F1497" s="218"/>
      <c r="G1497" s="218"/>
      <c r="H1497" s="218"/>
      <c r="I1497" s="218"/>
      <c r="J1497" s="218"/>
      <c r="K1497" s="218"/>
      <c r="L1497" s="218"/>
      <c r="M1497" s="273"/>
    </row>
    <row r="1498" spans="1:13" x14ac:dyDescent="0.2">
      <c r="A1498" s="231"/>
      <c r="B1498" s="9"/>
      <c r="C1498" s="11"/>
      <c r="D1498" s="10"/>
      <c r="E1498" s="218"/>
      <c r="F1498" s="218"/>
      <c r="G1498" s="218"/>
      <c r="H1498" s="218"/>
      <c r="I1498" s="218"/>
      <c r="J1498" s="218"/>
      <c r="K1498" s="218"/>
      <c r="L1498" s="218"/>
      <c r="M1498" s="273"/>
    </row>
    <row r="1499" spans="1:13" x14ac:dyDescent="0.2">
      <c r="A1499" s="231"/>
      <c r="B1499" s="9"/>
      <c r="C1499" s="11"/>
      <c r="D1499" s="10"/>
      <c r="E1499" s="218"/>
      <c r="F1499" s="218"/>
      <c r="G1499" s="218"/>
      <c r="H1499" s="218"/>
      <c r="I1499" s="218"/>
      <c r="J1499" s="218"/>
      <c r="K1499" s="218"/>
      <c r="L1499" s="218"/>
      <c r="M1499" s="273"/>
    </row>
    <row r="1500" spans="1:13" x14ac:dyDescent="0.2">
      <c r="A1500" s="231"/>
      <c r="B1500" s="9"/>
      <c r="C1500" s="11"/>
      <c r="D1500" s="10"/>
      <c r="E1500" s="218"/>
      <c r="F1500" s="218"/>
      <c r="G1500" s="218"/>
      <c r="H1500" s="218"/>
      <c r="I1500" s="218"/>
      <c r="J1500" s="218"/>
      <c r="K1500" s="218"/>
      <c r="L1500" s="218"/>
      <c r="M1500" s="273"/>
    </row>
    <row r="1501" spans="1:13" x14ac:dyDescent="0.2">
      <c r="A1501" s="231"/>
      <c r="B1501" s="9"/>
      <c r="C1501" s="11"/>
      <c r="D1501" s="10"/>
      <c r="E1501" s="218"/>
      <c r="F1501" s="218"/>
      <c r="G1501" s="218"/>
      <c r="H1501" s="218"/>
      <c r="I1501" s="218"/>
      <c r="J1501" s="218"/>
      <c r="K1501" s="218"/>
      <c r="L1501" s="218"/>
      <c r="M1501" s="273"/>
    </row>
    <row r="1502" spans="1:13" x14ac:dyDescent="0.2">
      <c r="A1502" s="231"/>
      <c r="B1502" s="9"/>
      <c r="C1502" s="11"/>
      <c r="D1502" s="10"/>
      <c r="E1502" s="218"/>
      <c r="F1502" s="218"/>
      <c r="G1502" s="218"/>
      <c r="H1502" s="218"/>
      <c r="I1502" s="218"/>
      <c r="J1502" s="218"/>
      <c r="K1502" s="218"/>
      <c r="L1502" s="218"/>
      <c r="M1502" s="273"/>
    </row>
    <row r="1503" spans="1:13" x14ac:dyDescent="0.2">
      <c r="A1503" s="231"/>
      <c r="B1503" s="9"/>
      <c r="C1503" s="11"/>
      <c r="D1503" s="10"/>
      <c r="E1503" s="218"/>
      <c r="F1503" s="218"/>
      <c r="G1503" s="218"/>
      <c r="H1503" s="218"/>
      <c r="I1503" s="218"/>
      <c r="J1503" s="218"/>
      <c r="K1503" s="218"/>
      <c r="L1503" s="218"/>
      <c r="M1503" s="273"/>
    </row>
    <row r="1504" spans="1:13" x14ac:dyDescent="0.2">
      <c r="A1504" s="231"/>
      <c r="B1504" s="9"/>
      <c r="C1504" s="11"/>
      <c r="D1504" s="10"/>
      <c r="E1504" s="218"/>
      <c r="F1504" s="218"/>
      <c r="G1504" s="218"/>
      <c r="H1504" s="218"/>
      <c r="I1504" s="218"/>
      <c r="J1504" s="218"/>
      <c r="K1504" s="218"/>
      <c r="L1504" s="218"/>
      <c r="M1504" s="273"/>
    </row>
    <row r="1505" spans="1:13" x14ac:dyDescent="0.2">
      <c r="A1505" s="231"/>
      <c r="B1505" s="9"/>
      <c r="C1505" s="11"/>
      <c r="D1505" s="10"/>
      <c r="E1505" s="218"/>
      <c r="F1505" s="218"/>
      <c r="G1505" s="218"/>
      <c r="H1505" s="218"/>
      <c r="I1505" s="218"/>
      <c r="J1505" s="218"/>
      <c r="K1505" s="218"/>
      <c r="L1505" s="218"/>
      <c r="M1505" s="273"/>
    </row>
    <row r="1506" spans="1:13" ht="15" thickBot="1" x14ac:dyDescent="0.25">
      <c r="A1506" s="303"/>
      <c r="B1506" s="304"/>
      <c r="C1506" s="305"/>
      <c r="D1506" s="306"/>
      <c r="E1506" s="307"/>
      <c r="F1506" s="307"/>
      <c r="G1506" s="307"/>
      <c r="H1506" s="307"/>
      <c r="I1506" s="307"/>
      <c r="J1506" s="307"/>
      <c r="K1506" s="307"/>
      <c r="L1506" s="307"/>
      <c r="M1506" s="308"/>
    </row>
    <row r="1507" spans="1:13" x14ac:dyDescent="0.2">
      <c r="E1507" s="2"/>
      <c r="F1507" s="2"/>
      <c r="G1507" s="2"/>
      <c r="H1507" s="2"/>
      <c r="I1507" s="2"/>
      <c r="J1507" s="2"/>
      <c r="K1507" s="2"/>
      <c r="L1507" s="2"/>
      <c r="M1507" s="2"/>
    </row>
    <row r="1508" spans="1:13" x14ac:dyDescent="0.2">
      <c r="E1508" s="2"/>
      <c r="F1508" s="2"/>
      <c r="G1508" s="2"/>
      <c r="H1508" s="2"/>
      <c r="I1508" s="2"/>
      <c r="J1508" s="2"/>
      <c r="K1508" s="2"/>
      <c r="L1508" s="2"/>
      <c r="M1508" s="2"/>
    </row>
    <row r="1509" spans="1:13" x14ac:dyDescent="0.2">
      <c r="E1509" s="2"/>
      <c r="F1509" s="2"/>
      <c r="G1509" s="2"/>
      <c r="H1509" s="2"/>
      <c r="I1509" s="2"/>
      <c r="J1509" s="2"/>
      <c r="K1509" s="2"/>
      <c r="L1509" s="2"/>
      <c r="M1509" s="2"/>
    </row>
    <row r="1510" spans="1:13" x14ac:dyDescent="0.2">
      <c r="E1510" s="2"/>
      <c r="F1510" s="2"/>
      <c r="G1510" s="2"/>
      <c r="H1510" s="2"/>
      <c r="I1510" s="2"/>
      <c r="J1510" s="2"/>
      <c r="K1510" s="2"/>
      <c r="L1510" s="2"/>
      <c r="M1510" s="2"/>
    </row>
    <row r="1511" spans="1:13" x14ac:dyDescent="0.2">
      <c r="E1511" s="2"/>
      <c r="F1511" s="2"/>
      <c r="G1511" s="2"/>
      <c r="H1511" s="2"/>
      <c r="I1511" s="2"/>
      <c r="J1511" s="2"/>
      <c r="K1511" s="2"/>
      <c r="L1511" s="2"/>
      <c r="M1511" s="2"/>
    </row>
    <row r="1512" spans="1:13" x14ac:dyDescent="0.2">
      <c r="E1512" s="2"/>
      <c r="F1512" s="2"/>
      <c r="G1512" s="2"/>
      <c r="H1512" s="2"/>
      <c r="I1512" s="2"/>
      <c r="J1512" s="2"/>
      <c r="K1512" s="2"/>
      <c r="L1512" s="2"/>
      <c r="M1512" s="2"/>
    </row>
    <row r="1513" spans="1:13" x14ac:dyDescent="0.2">
      <c r="E1513" s="2"/>
      <c r="F1513" s="2"/>
      <c r="G1513" s="2"/>
      <c r="H1513" s="2"/>
      <c r="I1513" s="2"/>
      <c r="J1513" s="2"/>
      <c r="K1513" s="2"/>
      <c r="L1513" s="2"/>
      <c r="M1513" s="2"/>
    </row>
  </sheetData>
  <mergeCells count="38">
    <mergeCell ref="K1214:L1215"/>
    <mergeCell ref="G1212:G1213"/>
    <mergeCell ref="H1212:I1212"/>
    <mergeCell ref="H1213:I1213"/>
    <mergeCell ref="G1214:I1214"/>
    <mergeCell ref="G1215:I1215"/>
    <mergeCell ref="H1066:I1067"/>
    <mergeCell ref="H1146:I1147"/>
    <mergeCell ref="K1066:L1066"/>
    <mergeCell ref="K1067:L1067"/>
    <mergeCell ref="K1146:L1146"/>
    <mergeCell ref="K1147:L1147"/>
    <mergeCell ref="K1068:L1068"/>
    <mergeCell ref="D1070:E1070"/>
    <mergeCell ref="G1275:G1276"/>
    <mergeCell ref="H1275:I1275"/>
    <mergeCell ref="H1276:I1276"/>
    <mergeCell ref="D1114:E1114"/>
    <mergeCell ref="H1206:I1206"/>
    <mergeCell ref="G1208:G1209"/>
    <mergeCell ref="H1208:I1208"/>
    <mergeCell ref="H1209:I1209"/>
    <mergeCell ref="G1210:G1211"/>
    <mergeCell ref="H1210:I1210"/>
    <mergeCell ref="H1211:I1211"/>
    <mergeCell ref="K1148:L1148"/>
    <mergeCell ref="D1102:E1102"/>
    <mergeCell ref="D1150:E1150"/>
    <mergeCell ref="D1190:E1190"/>
    <mergeCell ref="H1205:I1205"/>
    <mergeCell ref="G1205:G1206"/>
    <mergeCell ref="D1049:E1049"/>
    <mergeCell ref="A11:F11"/>
    <mergeCell ref="G11:H11"/>
    <mergeCell ref="A12:F12"/>
    <mergeCell ref="G13:H13"/>
    <mergeCell ref="A14:M14"/>
    <mergeCell ref="K13:L13"/>
  </mergeCells>
  <hyperlinks>
    <hyperlink ref="M15" r:id="rId1" display="DATA:Setembro/2010"/>
  </hyperlinks>
  <printOptions horizontalCentered="1"/>
  <pageMargins left="0.59055118110236227" right="0.59055118110236227" top="0.78740157480314965" bottom="0.78740157480314965" header="0.31496062992125984" footer="0.31496062992125984"/>
  <pageSetup paperSize="9" scale="56"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view="pageBreakPreview" zoomScaleNormal="100" workbookViewId="0">
      <selection activeCell="I37" sqref="I37"/>
    </sheetView>
  </sheetViews>
  <sheetFormatPr defaultRowHeight="12.75" x14ac:dyDescent="0.2"/>
  <cols>
    <col min="1" max="1" width="9.140625" style="361"/>
    <col min="2" max="2" width="31.42578125" style="361" customWidth="1"/>
    <col min="3" max="3" width="13.5703125" style="361" customWidth="1"/>
    <col min="4" max="4" width="13.7109375" style="361" customWidth="1"/>
    <col min="5" max="9" width="15.140625" style="361" customWidth="1"/>
    <col min="10" max="10" width="13.7109375" style="361" customWidth="1"/>
    <col min="11" max="11" width="13" style="361" customWidth="1"/>
    <col min="12" max="14" width="10.140625" style="361" bestFit="1" customWidth="1"/>
    <col min="15" max="259" width="9.140625" style="361"/>
    <col min="260" max="260" width="31.42578125" style="361" customWidth="1"/>
    <col min="261" max="261" width="13.5703125" style="361" customWidth="1"/>
    <col min="262" max="262" width="13.7109375" style="361" customWidth="1"/>
    <col min="263" max="264" width="15.140625" style="361" customWidth="1"/>
    <col min="265" max="265" width="13.7109375" style="361" customWidth="1"/>
    <col min="266" max="266" width="13" style="361" customWidth="1"/>
    <col min="267" max="267" width="16.85546875" style="361" customWidth="1"/>
    <col min="268" max="268" width="10.140625" style="361" bestFit="1" customWidth="1"/>
    <col min="269" max="515" width="9.140625" style="361"/>
    <col min="516" max="516" width="31.42578125" style="361" customWidth="1"/>
    <col min="517" max="517" width="13.5703125" style="361" customWidth="1"/>
    <col min="518" max="518" width="13.7109375" style="361" customWidth="1"/>
    <col min="519" max="520" width="15.140625" style="361" customWidth="1"/>
    <col min="521" max="521" width="13.7109375" style="361" customWidth="1"/>
    <col min="522" max="522" width="13" style="361" customWidth="1"/>
    <col min="523" max="523" width="16.85546875" style="361" customWidth="1"/>
    <col min="524" max="524" width="10.140625" style="361" bestFit="1" customWidth="1"/>
    <col min="525" max="771" width="9.140625" style="361"/>
    <col min="772" max="772" width="31.42578125" style="361" customWidth="1"/>
    <col min="773" max="773" width="13.5703125" style="361" customWidth="1"/>
    <col min="774" max="774" width="13.7109375" style="361" customWidth="1"/>
    <col min="775" max="776" width="15.140625" style="361" customWidth="1"/>
    <col min="777" max="777" width="13.7109375" style="361" customWidth="1"/>
    <col min="778" max="778" width="13" style="361" customWidth="1"/>
    <col min="779" max="779" width="16.85546875" style="361" customWidth="1"/>
    <col min="780" max="780" width="10.140625" style="361" bestFit="1" customWidth="1"/>
    <col min="781" max="1027" width="9.140625" style="361"/>
    <col min="1028" max="1028" width="31.42578125" style="361" customWidth="1"/>
    <col min="1029" max="1029" width="13.5703125" style="361" customWidth="1"/>
    <col min="1030" max="1030" width="13.7109375" style="361" customWidth="1"/>
    <col min="1031" max="1032" width="15.140625" style="361" customWidth="1"/>
    <col min="1033" max="1033" width="13.7109375" style="361" customWidth="1"/>
    <col min="1034" max="1034" width="13" style="361" customWidth="1"/>
    <col min="1035" max="1035" width="16.85546875" style="361" customWidth="1"/>
    <col min="1036" max="1036" width="10.140625" style="361" bestFit="1" customWidth="1"/>
    <col min="1037" max="1283" width="9.140625" style="361"/>
    <col min="1284" max="1284" width="31.42578125" style="361" customWidth="1"/>
    <col min="1285" max="1285" width="13.5703125" style="361" customWidth="1"/>
    <col min="1286" max="1286" width="13.7109375" style="361" customWidth="1"/>
    <col min="1287" max="1288" width="15.140625" style="361" customWidth="1"/>
    <col min="1289" max="1289" width="13.7109375" style="361" customWidth="1"/>
    <col min="1290" max="1290" width="13" style="361" customWidth="1"/>
    <col min="1291" max="1291" width="16.85546875" style="361" customWidth="1"/>
    <col min="1292" max="1292" width="10.140625" style="361" bestFit="1" customWidth="1"/>
    <col min="1293" max="1539" width="9.140625" style="361"/>
    <col min="1540" max="1540" width="31.42578125" style="361" customWidth="1"/>
    <col min="1541" max="1541" width="13.5703125" style="361" customWidth="1"/>
    <col min="1542" max="1542" width="13.7109375" style="361" customWidth="1"/>
    <col min="1543" max="1544" width="15.140625" style="361" customWidth="1"/>
    <col min="1545" max="1545" width="13.7109375" style="361" customWidth="1"/>
    <col min="1546" max="1546" width="13" style="361" customWidth="1"/>
    <col min="1547" max="1547" width="16.85546875" style="361" customWidth="1"/>
    <col min="1548" max="1548" width="10.140625" style="361" bestFit="1" customWidth="1"/>
    <col min="1549" max="1795" width="9.140625" style="361"/>
    <col min="1796" max="1796" width="31.42578125" style="361" customWidth="1"/>
    <col min="1797" max="1797" width="13.5703125" style="361" customWidth="1"/>
    <col min="1798" max="1798" width="13.7109375" style="361" customWidth="1"/>
    <col min="1799" max="1800" width="15.140625" style="361" customWidth="1"/>
    <col min="1801" max="1801" width="13.7109375" style="361" customWidth="1"/>
    <col min="1802" max="1802" width="13" style="361" customWidth="1"/>
    <col min="1803" max="1803" width="16.85546875" style="361" customWidth="1"/>
    <col min="1804" max="1804" width="10.140625" style="361" bestFit="1" customWidth="1"/>
    <col min="1805" max="2051" width="9.140625" style="361"/>
    <col min="2052" max="2052" width="31.42578125" style="361" customWidth="1"/>
    <col min="2053" max="2053" width="13.5703125" style="361" customWidth="1"/>
    <col min="2054" max="2054" width="13.7109375" style="361" customWidth="1"/>
    <col min="2055" max="2056" width="15.140625" style="361" customWidth="1"/>
    <col min="2057" max="2057" width="13.7109375" style="361" customWidth="1"/>
    <col min="2058" max="2058" width="13" style="361" customWidth="1"/>
    <col min="2059" max="2059" width="16.85546875" style="361" customWidth="1"/>
    <col min="2060" max="2060" width="10.140625" style="361" bestFit="1" customWidth="1"/>
    <col min="2061" max="2307" width="9.140625" style="361"/>
    <col min="2308" max="2308" width="31.42578125" style="361" customWidth="1"/>
    <col min="2309" max="2309" width="13.5703125" style="361" customWidth="1"/>
    <col min="2310" max="2310" width="13.7109375" style="361" customWidth="1"/>
    <col min="2311" max="2312" width="15.140625" style="361" customWidth="1"/>
    <col min="2313" max="2313" width="13.7109375" style="361" customWidth="1"/>
    <col min="2314" max="2314" width="13" style="361" customWidth="1"/>
    <col min="2315" max="2315" width="16.85546875" style="361" customWidth="1"/>
    <col min="2316" max="2316" width="10.140625" style="361" bestFit="1" customWidth="1"/>
    <col min="2317" max="2563" width="9.140625" style="361"/>
    <col min="2564" max="2564" width="31.42578125" style="361" customWidth="1"/>
    <col min="2565" max="2565" width="13.5703125" style="361" customWidth="1"/>
    <col min="2566" max="2566" width="13.7109375" style="361" customWidth="1"/>
    <col min="2567" max="2568" width="15.140625" style="361" customWidth="1"/>
    <col min="2569" max="2569" width="13.7109375" style="361" customWidth="1"/>
    <col min="2570" max="2570" width="13" style="361" customWidth="1"/>
    <col min="2571" max="2571" width="16.85546875" style="361" customWidth="1"/>
    <col min="2572" max="2572" width="10.140625" style="361" bestFit="1" customWidth="1"/>
    <col min="2573" max="2819" width="9.140625" style="361"/>
    <col min="2820" max="2820" width="31.42578125" style="361" customWidth="1"/>
    <col min="2821" max="2821" width="13.5703125" style="361" customWidth="1"/>
    <col min="2822" max="2822" width="13.7109375" style="361" customWidth="1"/>
    <col min="2823" max="2824" width="15.140625" style="361" customWidth="1"/>
    <col min="2825" max="2825" width="13.7109375" style="361" customWidth="1"/>
    <col min="2826" max="2826" width="13" style="361" customWidth="1"/>
    <col min="2827" max="2827" width="16.85546875" style="361" customWidth="1"/>
    <col min="2828" max="2828" width="10.140625" style="361" bestFit="1" customWidth="1"/>
    <col min="2829" max="3075" width="9.140625" style="361"/>
    <col min="3076" max="3076" width="31.42578125" style="361" customWidth="1"/>
    <col min="3077" max="3077" width="13.5703125" style="361" customWidth="1"/>
    <col min="3078" max="3078" width="13.7109375" style="361" customWidth="1"/>
    <col min="3079" max="3080" width="15.140625" style="361" customWidth="1"/>
    <col min="3081" max="3081" width="13.7109375" style="361" customWidth="1"/>
    <col min="3082" max="3082" width="13" style="361" customWidth="1"/>
    <col min="3083" max="3083" width="16.85546875" style="361" customWidth="1"/>
    <col min="3084" max="3084" width="10.140625" style="361" bestFit="1" customWidth="1"/>
    <col min="3085" max="3331" width="9.140625" style="361"/>
    <col min="3332" max="3332" width="31.42578125" style="361" customWidth="1"/>
    <col min="3333" max="3333" width="13.5703125" style="361" customWidth="1"/>
    <col min="3334" max="3334" width="13.7109375" style="361" customWidth="1"/>
    <col min="3335" max="3336" width="15.140625" style="361" customWidth="1"/>
    <col min="3337" max="3337" width="13.7109375" style="361" customWidth="1"/>
    <col min="3338" max="3338" width="13" style="361" customWidth="1"/>
    <col min="3339" max="3339" width="16.85546875" style="361" customWidth="1"/>
    <col min="3340" max="3340" width="10.140625" style="361" bestFit="1" customWidth="1"/>
    <col min="3341" max="3587" width="9.140625" style="361"/>
    <col min="3588" max="3588" width="31.42578125" style="361" customWidth="1"/>
    <col min="3589" max="3589" width="13.5703125" style="361" customWidth="1"/>
    <col min="3590" max="3590" width="13.7109375" style="361" customWidth="1"/>
    <col min="3591" max="3592" width="15.140625" style="361" customWidth="1"/>
    <col min="3593" max="3593" width="13.7109375" style="361" customWidth="1"/>
    <col min="3594" max="3594" width="13" style="361" customWidth="1"/>
    <col min="3595" max="3595" width="16.85546875" style="361" customWidth="1"/>
    <col min="3596" max="3596" width="10.140625" style="361" bestFit="1" customWidth="1"/>
    <col min="3597" max="3843" width="9.140625" style="361"/>
    <col min="3844" max="3844" width="31.42578125" style="361" customWidth="1"/>
    <col min="3845" max="3845" width="13.5703125" style="361" customWidth="1"/>
    <col min="3846" max="3846" width="13.7109375" style="361" customWidth="1"/>
    <col min="3847" max="3848" width="15.140625" style="361" customWidth="1"/>
    <col min="3849" max="3849" width="13.7109375" style="361" customWidth="1"/>
    <col min="3850" max="3850" width="13" style="361" customWidth="1"/>
    <col min="3851" max="3851" width="16.85546875" style="361" customWidth="1"/>
    <col min="3852" max="3852" width="10.140625" style="361" bestFit="1" customWidth="1"/>
    <col min="3853" max="4099" width="9.140625" style="361"/>
    <col min="4100" max="4100" width="31.42578125" style="361" customWidth="1"/>
    <col min="4101" max="4101" width="13.5703125" style="361" customWidth="1"/>
    <col min="4102" max="4102" width="13.7109375" style="361" customWidth="1"/>
    <col min="4103" max="4104" width="15.140625" style="361" customWidth="1"/>
    <col min="4105" max="4105" width="13.7109375" style="361" customWidth="1"/>
    <col min="4106" max="4106" width="13" style="361" customWidth="1"/>
    <col min="4107" max="4107" width="16.85546875" style="361" customWidth="1"/>
    <col min="4108" max="4108" width="10.140625" style="361" bestFit="1" customWidth="1"/>
    <col min="4109" max="4355" width="9.140625" style="361"/>
    <col min="4356" max="4356" width="31.42578125" style="361" customWidth="1"/>
    <col min="4357" max="4357" width="13.5703125" style="361" customWidth="1"/>
    <col min="4358" max="4358" width="13.7109375" style="361" customWidth="1"/>
    <col min="4359" max="4360" width="15.140625" style="361" customWidth="1"/>
    <col min="4361" max="4361" width="13.7109375" style="361" customWidth="1"/>
    <col min="4362" max="4362" width="13" style="361" customWidth="1"/>
    <col min="4363" max="4363" width="16.85546875" style="361" customWidth="1"/>
    <col min="4364" max="4364" width="10.140625" style="361" bestFit="1" customWidth="1"/>
    <col min="4365" max="4611" width="9.140625" style="361"/>
    <col min="4612" max="4612" width="31.42578125" style="361" customWidth="1"/>
    <col min="4613" max="4613" width="13.5703125" style="361" customWidth="1"/>
    <col min="4614" max="4614" width="13.7109375" style="361" customWidth="1"/>
    <col min="4615" max="4616" width="15.140625" style="361" customWidth="1"/>
    <col min="4617" max="4617" width="13.7109375" style="361" customWidth="1"/>
    <col min="4618" max="4618" width="13" style="361" customWidth="1"/>
    <col min="4619" max="4619" width="16.85546875" style="361" customWidth="1"/>
    <col min="4620" max="4620" width="10.140625" style="361" bestFit="1" customWidth="1"/>
    <col min="4621" max="4867" width="9.140625" style="361"/>
    <col min="4868" max="4868" width="31.42578125" style="361" customWidth="1"/>
    <col min="4869" max="4869" width="13.5703125" style="361" customWidth="1"/>
    <col min="4870" max="4870" width="13.7109375" style="361" customWidth="1"/>
    <col min="4871" max="4872" width="15.140625" style="361" customWidth="1"/>
    <col min="4873" max="4873" width="13.7109375" style="361" customWidth="1"/>
    <col min="4874" max="4874" width="13" style="361" customWidth="1"/>
    <col min="4875" max="4875" width="16.85546875" style="361" customWidth="1"/>
    <col min="4876" max="4876" width="10.140625" style="361" bestFit="1" customWidth="1"/>
    <col min="4877" max="5123" width="9.140625" style="361"/>
    <col min="5124" max="5124" width="31.42578125" style="361" customWidth="1"/>
    <col min="5125" max="5125" width="13.5703125" style="361" customWidth="1"/>
    <col min="5126" max="5126" width="13.7109375" style="361" customWidth="1"/>
    <col min="5127" max="5128" width="15.140625" style="361" customWidth="1"/>
    <col min="5129" max="5129" width="13.7109375" style="361" customWidth="1"/>
    <col min="5130" max="5130" width="13" style="361" customWidth="1"/>
    <col min="5131" max="5131" width="16.85546875" style="361" customWidth="1"/>
    <col min="5132" max="5132" width="10.140625" style="361" bestFit="1" customWidth="1"/>
    <col min="5133" max="5379" width="9.140625" style="361"/>
    <col min="5380" max="5380" width="31.42578125" style="361" customWidth="1"/>
    <col min="5381" max="5381" width="13.5703125" style="361" customWidth="1"/>
    <col min="5382" max="5382" width="13.7109375" style="361" customWidth="1"/>
    <col min="5383" max="5384" width="15.140625" style="361" customWidth="1"/>
    <col min="5385" max="5385" width="13.7109375" style="361" customWidth="1"/>
    <col min="5386" max="5386" width="13" style="361" customWidth="1"/>
    <col min="5387" max="5387" width="16.85546875" style="361" customWidth="1"/>
    <col min="5388" max="5388" width="10.140625" style="361" bestFit="1" customWidth="1"/>
    <col min="5389" max="5635" width="9.140625" style="361"/>
    <col min="5636" max="5636" width="31.42578125" style="361" customWidth="1"/>
    <col min="5637" max="5637" width="13.5703125" style="361" customWidth="1"/>
    <col min="5638" max="5638" width="13.7109375" style="361" customWidth="1"/>
    <col min="5639" max="5640" width="15.140625" style="361" customWidth="1"/>
    <col min="5641" max="5641" width="13.7109375" style="361" customWidth="1"/>
    <col min="5642" max="5642" width="13" style="361" customWidth="1"/>
    <col min="5643" max="5643" width="16.85546875" style="361" customWidth="1"/>
    <col min="5644" max="5644" width="10.140625" style="361" bestFit="1" customWidth="1"/>
    <col min="5645" max="5891" width="9.140625" style="361"/>
    <col min="5892" max="5892" width="31.42578125" style="361" customWidth="1"/>
    <col min="5893" max="5893" width="13.5703125" style="361" customWidth="1"/>
    <col min="5894" max="5894" width="13.7109375" style="361" customWidth="1"/>
    <col min="5895" max="5896" width="15.140625" style="361" customWidth="1"/>
    <col min="5897" max="5897" width="13.7109375" style="361" customWidth="1"/>
    <col min="5898" max="5898" width="13" style="361" customWidth="1"/>
    <col min="5899" max="5899" width="16.85546875" style="361" customWidth="1"/>
    <col min="5900" max="5900" width="10.140625" style="361" bestFit="1" customWidth="1"/>
    <col min="5901" max="6147" width="9.140625" style="361"/>
    <col min="6148" max="6148" width="31.42578125" style="361" customWidth="1"/>
    <col min="6149" max="6149" width="13.5703125" style="361" customWidth="1"/>
    <col min="6150" max="6150" width="13.7109375" style="361" customWidth="1"/>
    <col min="6151" max="6152" width="15.140625" style="361" customWidth="1"/>
    <col min="6153" max="6153" width="13.7109375" style="361" customWidth="1"/>
    <col min="6154" max="6154" width="13" style="361" customWidth="1"/>
    <col min="6155" max="6155" width="16.85546875" style="361" customWidth="1"/>
    <col min="6156" max="6156" width="10.140625" style="361" bestFit="1" customWidth="1"/>
    <col min="6157" max="6403" width="9.140625" style="361"/>
    <col min="6404" max="6404" width="31.42578125" style="361" customWidth="1"/>
    <col min="6405" max="6405" width="13.5703125" style="361" customWidth="1"/>
    <col min="6406" max="6406" width="13.7109375" style="361" customWidth="1"/>
    <col min="6407" max="6408" width="15.140625" style="361" customWidth="1"/>
    <col min="6409" max="6409" width="13.7109375" style="361" customWidth="1"/>
    <col min="6410" max="6410" width="13" style="361" customWidth="1"/>
    <col min="6411" max="6411" width="16.85546875" style="361" customWidth="1"/>
    <col min="6412" max="6412" width="10.140625" style="361" bestFit="1" customWidth="1"/>
    <col min="6413" max="6659" width="9.140625" style="361"/>
    <col min="6660" max="6660" width="31.42578125" style="361" customWidth="1"/>
    <col min="6661" max="6661" width="13.5703125" style="361" customWidth="1"/>
    <col min="6662" max="6662" width="13.7109375" style="361" customWidth="1"/>
    <col min="6663" max="6664" width="15.140625" style="361" customWidth="1"/>
    <col min="6665" max="6665" width="13.7109375" style="361" customWidth="1"/>
    <col min="6666" max="6666" width="13" style="361" customWidth="1"/>
    <col min="6667" max="6667" width="16.85546875" style="361" customWidth="1"/>
    <col min="6668" max="6668" width="10.140625" style="361" bestFit="1" customWidth="1"/>
    <col min="6669" max="6915" width="9.140625" style="361"/>
    <col min="6916" max="6916" width="31.42578125" style="361" customWidth="1"/>
    <col min="6917" max="6917" width="13.5703125" style="361" customWidth="1"/>
    <col min="6918" max="6918" width="13.7109375" style="361" customWidth="1"/>
    <col min="6919" max="6920" width="15.140625" style="361" customWidth="1"/>
    <col min="6921" max="6921" width="13.7109375" style="361" customWidth="1"/>
    <col min="6922" max="6922" width="13" style="361" customWidth="1"/>
    <col min="6923" max="6923" width="16.85546875" style="361" customWidth="1"/>
    <col min="6924" max="6924" width="10.140625" style="361" bestFit="1" customWidth="1"/>
    <col min="6925" max="7171" width="9.140625" style="361"/>
    <col min="7172" max="7172" width="31.42578125" style="361" customWidth="1"/>
    <col min="7173" max="7173" width="13.5703125" style="361" customWidth="1"/>
    <col min="7174" max="7174" width="13.7109375" style="361" customWidth="1"/>
    <col min="7175" max="7176" width="15.140625" style="361" customWidth="1"/>
    <col min="7177" max="7177" width="13.7109375" style="361" customWidth="1"/>
    <col min="7178" max="7178" width="13" style="361" customWidth="1"/>
    <col min="7179" max="7179" width="16.85546875" style="361" customWidth="1"/>
    <col min="7180" max="7180" width="10.140625" style="361" bestFit="1" customWidth="1"/>
    <col min="7181" max="7427" width="9.140625" style="361"/>
    <col min="7428" max="7428" width="31.42578125" style="361" customWidth="1"/>
    <col min="7429" max="7429" width="13.5703125" style="361" customWidth="1"/>
    <col min="7430" max="7430" width="13.7109375" style="361" customWidth="1"/>
    <col min="7431" max="7432" width="15.140625" style="361" customWidth="1"/>
    <col min="7433" max="7433" width="13.7109375" style="361" customWidth="1"/>
    <col min="7434" max="7434" width="13" style="361" customWidth="1"/>
    <col min="7435" max="7435" width="16.85546875" style="361" customWidth="1"/>
    <col min="7436" max="7436" width="10.140625" style="361" bestFit="1" customWidth="1"/>
    <col min="7437" max="7683" width="9.140625" style="361"/>
    <col min="7684" max="7684" width="31.42578125" style="361" customWidth="1"/>
    <col min="7685" max="7685" width="13.5703125" style="361" customWidth="1"/>
    <col min="7686" max="7686" width="13.7109375" style="361" customWidth="1"/>
    <col min="7687" max="7688" width="15.140625" style="361" customWidth="1"/>
    <col min="7689" max="7689" width="13.7109375" style="361" customWidth="1"/>
    <col min="7690" max="7690" width="13" style="361" customWidth="1"/>
    <col min="7691" max="7691" width="16.85546875" style="361" customWidth="1"/>
    <col min="7692" max="7692" width="10.140625" style="361" bestFit="1" customWidth="1"/>
    <col min="7693" max="7939" width="9.140625" style="361"/>
    <col min="7940" max="7940" width="31.42578125" style="361" customWidth="1"/>
    <col min="7941" max="7941" width="13.5703125" style="361" customWidth="1"/>
    <col min="7942" max="7942" width="13.7109375" style="361" customWidth="1"/>
    <col min="7943" max="7944" width="15.140625" style="361" customWidth="1"/>
    <col min="7945" max="7945" width="13.7109375" style="361" customWidth="1"/>
    <col min="7946" max="7946" width="13" style="361" customWidth="1"/>
    <col min="7947" max="7947" width="16.85546875" style="361" customWidth="1"/>
    <col min="7948" max="7948" width="10.140625" style="361" bestFit="1" customWidth="1"/>
    <col min="7949" max="8195" width="9.140625" style="361"/>
    <col min="8196" max="8196" width="31.42578125" style="361" customWidth="1"/>
    <col min="8197" max="8197" width="13.5703125" style="361" customWidth="1"/>
    <col min="8198" max="8198" width="13.7109375" style="361" customWidth="1"/>
    <col min="8199" max="8200" width="15.140625" style="361" customWidth="1"/>
    <col min="8201" max="8201" width="13.7109375" style="361" customWidth="1"/>
    <col min="8202" max="8202" width="13" style="361" customWidth="1"/>
    <col min="8203" max="8203" width="16.85546875" style="361" customWidth="1"/>
    <col min="8204" max="8204" width="10.140625" style="361" bestFit="1" customWidth="1"/>
    <col min="8205" max="8451" width="9.140625" style="361"/>
    <col min="8452" max="8452" width="31.42578125" style="361" customWidth="1"/>
    <col min="8453" max="8453" width="13.5703125" style="361" customWidth="1"/>
    <col min="8454" max="8454" width="13.7109375" style="361" customWidth="1"/>
    <col min="8455" max="8456" width="15.140625" style="361" customWidth="1"/>
    <col min="8457" max="8457" width="13.7109375" style="361" customWidth="1"/>
    <col min="8458" max="8458" width="13" style="361" customWidth="1"/>
    <col min="8459" max="8459" width="16.85546875" style="361" customWidth="1"/>
    <col min="8460" max="8460" width="10.140625" style="361" bestFit="1" customWidth="1"/>
    <col min="8461" max="8707" width="9.140625" style="361"/>
    <col min="8708" max="8708" width="31.42578125" style="361" customWidth="1"/>
    <col min="8709" max="8709" width="13.5703125" style="361" customWidth="1"/>
    <col min="8710" max="8710" width="13.7109375" style="361" customWidth="1"/>
    <col min="8711" max="8712" width="15.140625" style="361" customWidth="1"/>
    <col min="8713" max="8713" width="13.7109375" style="361" customWidth="1"/>
    <col min="8714" max="8714" width="13" style="361" customWidth="1"/>
    <col min="8715" max="8715" width="16.85546875" style="361" customWidth="1"/>
    <col min="8716" max="8716" width="10.140625" style="361" bestFit="1" customWidth="1"/>
    <col min="8717" max="8963" width="9.140625" style="361"/>
    <col min="8964" max="8964" width="31.42578125" style="361" customWidth="1"/>
    <col min="8965" max="8965" width="13.5703125" style="361" customWidth="1"/>
    <col min="8966" max="8966" width="13.7109375" style="361" customWidth="1"/>
    <col min="8967" max="8968" width="15.140625" style="361" customWidth="1"/>
    <col min="8969" max="8969" width="13.7109375" style="361" customWidth="1"/>
    <col min="8970" max="8970" width="13" style="361" customWidth="1"/>
    <col min="8971" max="8971" width="16.85546875" style="361" customWidth="1"/>
    <col min="8972" max="8972" width="10.140625" style="361" bestFit="1" customWidth="1"/>
    <col min="8973" max="9219" width="9.140625" style="361"/>
    <col min="9220" max="9220" width="31.42578125" style="361" customWidth="1"/>
    <col min="9221" max="9221" width="13.5703125" style="361" customWidth="1"/>
    <col min="9222" max="9222" width="13.7109375" style="361" customWidth="1"/>
    <col min="9223" max="9224" width="15.140625" style="361" customWidth="1"/>
    <col min="9225" max="9225" width="13.7109375" style="361" customWidth="1"/>
    <col min="9226" max="9226" width="13" style="361" customWidth="1"/>
    <col min="9227" max="9227" width="16.85546875" style="361" customWidth="1"/>
    <col min="9228" max="9228" width="10.140625" style="361" bestFit="1" customWidth="1"/>
    <col min="9229" max="9475" width="9.140625" style="361"/>
    <col min="9476" max="9476" width="31.42578125" style="361" customWidth="1"/>
    <col min="9477" max="9477" width="13.5703125" style="361" customWidth="1"/>
    <col min="9478" max="9478" width="13.7109375" style="361" customWidth="1"/>
    <col min="9479" max="9480" width="15.140625" style="361" customWidth="1"/>
    <col min="9481" max="9481" width="13.7109375" style="361" customWidth="1"/>
    <col min="9482" max="9482" width="13" style="361" customWidth="1"/>
    <col min="9483" max="9483" width="16.85546875" style="361" customWidth="1"/>
    <col min="9484" max="9484" width="10.140625" style="361" bestFit="1" customWidth="1"/>
    <col min="9485" max="9731" width="9.140625" style="361"/>
    <col min="9732" max="9732" width="31.42578125" style="361" customWidth="1"/>
    <col min="9733" max="9733" width="13.5703125" style="361" customWidth="1"/>
    <col min="9734" max="9734" width="13.7109375" style="361" customWidth="1"/>
    <col min="9735" max="9736" width="15.140625" style="361" customWidth="1"/>
    <col min="9737" max="9737" width="13.7109375" style="361" customWidth="1"/>
    <col min="9738" max="9738" width="13" style="361" customWidth="1"/>
    <col min="9739" max="9739" width="16.85546875" style="361" customWidth="1"/>
    <col min="9740" max="9740" width="10.140625" style="361" bestFit="1" customWidth="1"/>
    <col min="9741" max="9987" width="9.140625" style="361"/>
    <col min="9988" max="9988" width="31.42578125" style="361" customWidth="1"/>
    <col min="9989" max="9989" width="13.5703125" style="361" customWidth="1"/>
    <col min="9990" max="9990" width="13.7109375" style="361" customWidth="1"/>
    <col min="9991" max="9992" width="15.140625" style="361" customWidth="1"/>
    <col min="9993" max="9993" width="13.7109375" style="361" customWidth="1"/>
    <col min="9994" max="9994" width="13" style="361" customWidth="1"/>
    <col min="9995" max="9995" width="16.85546875" style="361" customWidth="1"/>
    <col min="9996" max="9996" width="10.140625" style="361" bestFit="1" customWidth="1"/>
    <col min="9997" max="10243" width="9.140625" style="361"/>
    <col min="10244" max="10244" width="31.42578125" style="361" customWidth="1"/>
    <col min="10245" max="10245" width="13.5703125" style="361" customWidth="1"/>
    <col min="10246" max="10246" width="13.7109375" style="361" customWidth="1"/>
    <col min="10247" max="10248" width="15.140625" style="361" customWidth="1"/>
    <col min="10249" max="10249" width="13.7109375" style="361" customWidth="1"/>
    <col min="10250" max="10250" width="13" style="361" customWidth="1"/>
    <col min="10251" max="10251" width="16.85546875" style="361" customWidth="1"/>
    <col min="10252" max="10252" width="10.140625" style="361" bestFit="1" customWidth="1"/>
    <col min="10253" max="10499" width="9.140625" style="361"/>
    <col min="10500" max="10500" width="31.42578125" style="361" customWidth="1"/>
    <col min="10501" max="10501" width="13.5703125" style="361" customWidth="1"/>
    <col min="10502" max="10502" width="13.7109375" style="361" customWidth="1"/>
    <col min="10503" max="10504" width="15.140625" style="361" customWidth="1"/>
    <col min="10505" max="10505" width="13.7109375" style="361" customWidth="1"/>
    <col min="10506" max="10506" width="13" style="361" customWidth="1"/>
    <col min="10507" max="10507" width="16.85546875" style="361" customWidth="1"/>
    <col min="10508" max="10508" width="10.140625" style="361" bestFit="1" customWidth="1"/>
    <col min="10509" max="10755" width="9.140625" style="361"/>
    <col min="10756" max="10756" width="31.42578125" style="361" customWidth="1"/>
    <col min="10757" max="10757" width="13.5703125" style="361" customWidth="1"/>
    <col min="10758" max="10758" width="13.7109375" style="361" customWidth="1"/>
    <col min="10759" max="10760" width="15.140625" style="361" customWidth="1"/>
    <col min="10761" max="10761" width="13.7109375" style="361" customWidth="1"/>
    <col min="10762" max="10762" width="13" style="361" customWidth="1"/>
    <col min="10763" max="10763" width="16.85546875" style="361" customWidth="1"/>
    <col min="10764" max="10764" width="10.140625" style="361" bestFit="1" customWidth="1"/>
    <col min="10765" max="11011" width="9.140625" style="361"/>
    <col min="11012" max="11012" width="31.42578125" style="361" customWidth="1"/>
    <col min="11013" max="11013" width="13.5703125" style="361" customWidth="1"/>
    <col min="11014" max="11014" width="13.7109375" style="361" customWidth="1"/>
    <col min="11015" max="11016" width="15.140625" style="361" customWidth="1"/>
    <col min="11017" max="11017" width="13.7109375" style="361" customWidth="1"/>
    <col min="11018" max="11018" width="13" style="361" customWidth="1"/>
    <col min="11019" max="11019" width="16.85546875" style="361" customWidth="1"/>
    <col min="11020" max="11020" width="10.140625" style="361" bestFit="1" customWidth="1"/>
    <col min="11021" max="11267" width="9.140625" style="361"/>
    <col min="11268" max="11268" width="31.42578125" style="361" customWidth="1"/>
    <col min="11269" max="11269" width="13.5703125" style="361" customWidth="1"/>
    <col min="11270" max="11270" width="13.7109375" style="361" customWidth="1"/>
    <col min="11271" max="11272" width="15.140625" style="361" customWidth="1"/>
    <col min="11273" max="11273" width="13.7109375" style="361" customWidth="1"/>
    <col min="11274" max="11274" width="13" style="361" customWidth="1"/>
    <col min="11275" max="11275" width="16.85546875" style="361" customWidth="1"/>
    <col min="11276" max="11276" width="10.140625" style="361" bestFit="1" customWidth="1"/>
    <col min="11277" max="11523" width="9.140625" style="361"/>
    <col min="11524" max="11524" width="31.42578125" style="361" customWidth="1"/>
    <col min="11525" max="11525" width="13.5703125" style="361" customWidth="1"/>
    <col min="11526" max="11526" width="13.7109375" style="361" customWidth="1"/>
    <col min="11527" max="11528" width="15.140625" style="361" customWidth="1"/>
    <col min="11529" max="11529" width="13.7109375" style="361" customWidth="1"/>
    <col min="11530" max="11530" width="13" style="361" customWidth="1"/>
    <col min="11531" max="11531" width="16.85546875" style="361" customWidth="1"/>
    <col min="11532" max="11532" width="10.140625" style="361" bestFit="1" customWidth="1"/>
    <col min="11533" max="11779" width="9.140625" style="361"/>
    <col min="11780" max="11780" width="31.42578125" style="361" customWidth="1"/>
    <col min="11781" max="11781" width="13.5703125" style="361" customWidth="1"/>
    <col min="11782" max="11782" width="13.7109375" style="361" customWidth="1"/>
    <col min="11783" max="11784" width="15.140625" style="361" customWidth="1"/>
    <col min="11785" max="11785" width="13.7109375" style="361" customWidth="1"/>
    <col min="11786" max="11786" width="13" style="361" customWidth="1"/>
    <col min="11787" max="11787" width="16.85546875" style="361" customWidth="1"/>
    <col min="11788" max="11788" width="10.140625" style="361" bestFit="1" customWidth="1"/>
    <col min="11789" max="12035" width="9.140625" style="361"/>
    <col min="12036" max="12036" width="31.42578125" style="361" customWidth="1"/>
    <col min="12037" max="12037" width="13.5703125" style="361" customWidth="1"/>
    <col min="12038" max="12038" width="13.7109375" style="361" customWidth="1"/>
    <col min="12039" max="12040" width="15.140625" style="361" customWidth="1"/>
    <col min="12041" max="12041" width="13.7109375" style="361" customWidth="1"/>
    <col min="12042" max="12042" width="13" style="361" customWidth="1"/>
    <col min="12043" max="12043" width="16.85546875" style="361" customWidth="1"/>
    <col min="12044" max="12044" width="10.140625" style="361" bestFit="1" customWidth="1"/>
    <col min="12045" max="12291" width="9.140625" style="361"/>
    <col min="12292" max="12292" width="31.42578125" style="361" customWidth="1"/>
    <col min="12293" max="12293" width="13.5703125" style="361" customWidth="1"/>
    <col min="12294" max="12294" width="13.7109375" style="361" customWidth="1"/>
    <col min="12295" max="12296" width="15.140625" style="361" customWidth="1"/>
    <col min="12297" max="12297" width="13.7109375" style="361" customWidth="1"/>
    <col min="12298" max="12298" width="13" style="361" customWidth="1"/>
    <col min="12299" max="12299" width="16.85546875" style="361" customWidth="1"/>
    <col min="12300" max="12300" width="10.140625" style="361" bestFit="1" customWidth="1"/>
    <col min="12301" max="12547" width="9.140625" style="361"/>
    <col min="12548" max="12548" width="31.42578125" style="361" customWidth="1"/>
    <col min="12549" max="12549" width="13.5703125" style="361" customWidth="1"/>
    <col min="12550" max="12550" width="13.7109375" style="361" customWidth="1"/>
    <col min="12551" max="12552" width="15.140625" style="361" customWidth="1"/>
    <col min="12553" max="12553" width="13.7109375" style="361" customWidth="1"/>
    <col min="12554" max="12554" width="13" style="361" customWidth="1"/>
    <col min="12555" max="12555" width="16.85546875" style="361" customWidth="1"/>
    <col min="12556" max="12556" width="10.140625" style="361" bestFit="1" customWidth="1"/>
    <col min="12557" max="12803" width="9.140625" style="361"/>
    <col min="12804" max="12804" width="31.42578125" style="361" customWidth="1"/>
    <col min="12805" max="12805" width="13.5703125" style="361" customWidth="1"/>
    <col min="12806" max="12806" width="13.7109375" style="361" customWidth="1"/>
    <col min="12807" max="12808" width="15.140625" style="361" customWidth="1"/>
    <col min="12809" max="12809" width="13.7109375" style="361" customWidth="1"/>
    <col min="12810" max="12810" width="13" style="361" customWidth="1"/>
    <col min="12811" max="12811" width="16.85546875" style="361" customWidth="1"/>
    <col min="12812" max="12812" width="10.140625" style="361" bestFit="1" customWidth="1"/>
    <col min="12813" max="13059" width="9.140625" style="361"/>
    <col min="13060" max="13060" width="31.42578125" style="361" customWidth="1"/>
    <col min="13061" max="13061" width="13.5703125" style="361" customWidth="1"/>
    <col min="13062" max="13062" width="13.7109375" style="361" customWidth="1"/>
    <col min="13063" max="13064" width="15.140625" style="361" customWidth="1"/>
    <col min="13065" max="13065" width="13.7109375" style="361" customWidth="1"/>
    <col min="13066" max="13066" width="13" style="361" customWidth="1"/>
    <col min="13067" max="13067" width="16.85546875" style="361" customWidth="1"/>
    <col min="13068" max="13068" width="10.140625" style="361" bestFit="1" customWidth="1"/>
    <col min="13069" max="13315" width="9.140625" style="361"/>
    <col min="13316" max="13316" width="31.42578125" style="361" customWidth="1"/>
    <col min="13317" max="13317" width="13.5703125" style="361" customWidth="1"/>
    <col min="13318" max="13318" width="13.7109375" style="361" customWidth="1"/>
    <col min="13319" max="13320" width="15.140625" style="361" customWidth="1"/>
    <col min="13321" max="13321" width="13.7109375" style="361" customWidth="1"/>
    <col min="13322" max="13322" width="13" style="361" customWidth="1"/>
    <col min="13323" max="13323" width="16.85546875" style="361" customWidth="1"/>
    <col min="13324" max="13324" width="10.140625" style="361" bestFit="1" customWidth="1"/>
    <col min="13325" max="13571" width="9.140625" style="361"/>
    <col min="13572" max="13572" width="31.42578125" style="361" customWidth="1"/>
    <col min="13573" max="13573" width="13.5703125" style="361" customWidth="1"/>
    <col min="13574" max="13574" width="13.7109375" style="361" customWidth="1"/>
    <col min="13575" max="13576" width="15.140625" style="361" customWidth="1"/>
    <col min="13577" max="13577" width="13.7109375" style="361" customWidth="1"/>
    <col min="13578" max="13578" width="13" style="361" customWidth="1"/>
    <col min="13579" max="13579" width="16.85546875" style="361" customWidth="1"/>
    <col min="13580" max="13580" width="10.140625" style="361" bestFit="1" customWidth="1"/>
    <col min="13581" max="13827" width="9.140625" style="361"/>
    <col min="13828" max="13828" width="31.42578125" style="361" customWidth="1"/>
    <col min="13829" max="13829" width="13.5703125" style="361" customWidth="1"/>
    <col min="13830" max="13830" width="13.7109375" style="361" customWidth="1"/>
    <col min="13831" max="13832" width="15.140625" style="361" customWidth="1"/>
    <col min="13833" max="13833" width="13.7109375" style="361" customWidth="1"/>
    <col min="13834" max="13834" width="13" style="361" customWidth="1"/>
    <col min="13835" max="13835" width="16.85546875" style="361" customWidth="1"/>
    <col min="13836" max="13836" width="10.140625" style="361" bestFit="1" customWidth="1"/>
    <col min="13837" max="14083" width="9.140625" style="361"/>
    <col min="14084" max="14084" width="31.42578125" style="361" customWidth="1"/>
    <col min="14085" max="14085" width="13.5703125" style="361" customWidth="1"/>
    <col min="14086" max="14086" width="13.7109375" style="361" customWidth="1"/>
    <col min="14087" max="14088" width="15.140625" style="361" customWidth="1"/>
    <col min="14089" max="14089" width="13.7109375" style="361" customWidth="1"/>
    <col min="14090" max="14090" width="13" style="361" customWidth="1"/>
    <col min="14091" max="14091" width="16.85546875" style="361" customWidth="1"/>
    <col min="14092" max="14092" width="10.140625" style="361" bestFit="1" customWidth="1"/>
    <col min="14093" max="14339" width="9.140625" style="361"/>
    <col min="14340" max="14340" width="31.42578125" style="361" customWidth="1"/>
    <col min="14341" max="14341" width="13.5703125" style="361" customWidth="1"/>
    <col min="14342" max="14342" width="13.7109375" style="361" customWidth="1"/>
    <col min="14343" max="14344" width="15.140625" style="361" customWidth="1"/>
    <col min="14345" max="14345" width="13.7109375" style="361" customWidth="1"/>
    <col min="14346" max="14346" width="13" style="361" customWidth="1"/>
    <col min="14347" max="14347" width="16.85546875" style="361" customWidth="1"/>
    <col min="14348" max="14348" width="10.140625" style="361" bestFit="1" customWidth="1"/>
    <col min="14349" max="14595" width="9.140625" style="361"/>
    <col min="14596" max="14596" width="31.42578125" style="361" customWidth="1"/>
    <col min="14597" max="14597" width="13.5703125" style="361" customWidth="1"/>
    <col min="14598" max="14598" width="13.7109375" style="361" customWidth="1"/>
    <col min="14599" max="14600" width="15.140625" style="361" customWidth="1"/>
    <col min="14601" max="14601" width="13.7109375" style="361" customWidth="1"/>
    <col min="14602" max="14602" width="13" style="361" customWidth="1"/>
    <col min="14603" max="14603" width="16.85546875" style="361" customWidth="1"/>
    <col min="14604" max="14604" width="10.140625" style="361" bestFit="1" customWidth="1"/>
    <col min="14605" max="14851" width="9.140625" style="361"/>
    <col min="14852" max="14852" width="31.42578125" style="361" customWidth="1"/>
    <col min="14853" max="14853" width="13.5703125" style="361" customWidth="1"/>
    <col min="14854" max="14854" width="13.7109375" style="361" customWidth="1"/>
    <col min="14855" max="14856" width="15.140625" style="361" customWidth="1"/>
    <col min="14857" max="14857" width="13.7109375" style="361" customWidth="1"/>
    <col min="14858" max="14858" width="13" style="361" customWidth="1"/>
    <col min="14859" max="14859" width="16.85546875" style="361" customWidth="1"/>
    <col min="14860" max="14860" width="10.140625" style="361" bestFit="1" customWidth="1"/>
    <col min="14861" max="15107" width="9.140625" style="361"/>
    <col min="15108" max="15108" width="31.42578125" style="361" customWidth="1"/>
    <col min="15109" max="15109" width="13.5703125" style="361" customWidth="1"/>
    <col min="15110" max="15110" width="13.7109375" style="361" customWidth="1"/>
    <col min="15111" max="15112" width="15.140625" style="361" customWidth="1"/>
    <col min="15113" max="15113" width="13.7109375" style="361" customWidth="1"/>
    <col min="15114" max="15114" width="13" style="361" customWidth="1"/>
    <col min="15115" max="15115" width="16.85546875" style="361" customWidth="1"/>
    <col min="15116" max="15116" width="10.140625" style="361" bestFit="1" customWidth="1"/>
    <col min="15117" max="15363" width="9.140625" style="361"/>
    <col min="15364" max="15364" width="31.42578125" style="361" customWidth="1"/>
    <col min="15365" max="15365" width="13.5703125" style="361" customWidth="1"/>
    <col min="15366" max="15366" width="13.7109375" style="361" customWidth="1"/>
    <col min="15367" max="15368" width="15.140625" style="361" customWidth="1"/>
    <col min="15369" max="15369" width="13.7109375" style="361" customWidth="1"/>
    <col min="15370" max="15370" width="13" style="361" customWidth="1"/>
    <col min="15371" max="15371" width="16.85546875" style="361" customWidth="1"/>
    <col min="15372" max="15372" width="10.140625" style="361" bestFit="1" customWidth="1"/>
    <col min="15373" max="15619" width="9.140625" style="361"/>
    <col min="15620" max="15620" width="31.42578125" style="361" customWidth="1"/>
    <col min="15621" max="15621" width="13.5703125" style="361" customWidth="1"/>
    <col min="15622" max="15622" width="13.7109375" style="361" customWidth="1"/>
    <col min="15623" max="15624" width="15.140625" style="361" customWidth="1"/>
    <col min="15625" max="15625" width="13.7109375" style="361" customWidth="1"/>
    <col min="15626" max="15626" width="13" style="361" customWidth="1"/>
    <col min="15627" max="15627" width="16.85546875" style="361" customWidth="1"/>
    <col min="15628" max="15628" width="10.140625" style="361" bestFit="1" customWidth="1"/>
    <col min="15629" max="15875" width="9.140625" style="361"/>
    <col min="15876" max="15876" width="31.42578125" style="361" customWidth="1"/>
    <col min="15877" max="15877" width="13.5703125" style="361" customWidth="1"/>
    <col min="15878" max="15878" width="13.7109375" style="361" customWidth="1"/>
    <col min="15879" max="15880" width="15.140625" style="361" customWidth="1"/>
    <col min="15881" max="15881" width="13.7109375" style="361" customWidth="1"/>
    <col min="15882" max="15882" width="13" style="361" customWidth="1"/>
    <col min="15883" max="15883" width="16.85546875" style="361" customWidth="1"/>
    <col min="15884" max="15884" width="10.140625" style="361" bestFit="1" customWidth="1"/>
    <col min="15885" max="16131" width="9.140625" style="361"/>
    <col min="16132" max="16132" width="31.42578125" style="361" customWidth="1"/>
    <col min="16133" max="16133" width="13.5703125" style="361" customWidth="1"/>
    <col min="16134" max="16134" width="13.7109375" style="361" customWidth="1"/>
    <col min="16135" max="16136" width="15.140625" style="361" customWidth="1"/>
    <col min="16137" max="16137" width="13.7109375" style="361" customWidth="1"/>
    <col min="16138" max="16138" width="13" style="361" customWidth="1"/>
    <col min="16139" max="16139" width="16.85546875" style="361" customWidth="1"/>
    <col min="16140" max="16140" width="10.140625" style="361" bestFit="1" customWidth="1"/>
    <col min="16141" max="16384" width="9.140625" style="361"/>
  </cols>
  <sheetData>
    <row r="1" spans="1:11" x14ac:dyDescent="0.2">
      <c r="A1" s="222"/>
      <c r="B1" s="223"/>
      <c r="C1" s="223"/>
      <c r="D1" s="223"/>
      <c r="E1" s="223"/>
      <c r="F1" s="223"/>
      <c r="G1" s="223"/>
      <c r="H1" s="223"/>
      <c r="I1" s="223"/>
      <c r="J1" s="223"/>
      <c r="K1" s="225"/>
    </row>
    <row r="2" spans="1:11" x14ac:dyDescent="0.2">
      <c r="A2" s="226"/>
      <c r="B2" s="137"/>
      <c r="C2" s="137"/>
      <c r="D2" s="137"/>
      <c r="E2" s="137"/>
      <c r="F2" s="137"/>
      <c r="G2" s="137"/>
      <c r="H2" s="137"/>
      <c r="I2" s="137"/>
      <c r="J2" s="137"/>
      <c r="K2" s="318"/>
    </row>
    <row r="3" spans="1:11" ht="12.75" customHeight="1" x14ac:dyDescent="0.2">
      <c r="A3" s="226"/>
      <c r="B3" s="137"/>
      <c r="C3" s="137"/>
      <c r="D3" s="137"/>
      <c r="E3" s="137"/>
      <c r="F3" s="137"/>
      <c r="G3" s="137"/>
      <c r="H3" s="137"/>
      <c r="I3" s="137"/>
      <c r="J3" s="137"/>
      <c r="K3" s="318"/>
    </row>
    <row r="4" spans="1:11" ht="12.75" customHeight="1" x14ac:dyDescent="0.2">
      <c r="A4" s="226"/>
      <c r="B4" s="137"/>
      <c r="C4" s="137"/>
      <c r="D4" s="137"/>
      <c r="E4" s="137"/>
      <c r="F4" s="137"/>
      <c r="G4" s="137"/>
      <c r="H4" s="137"/>
      <c r="I4" s="137"/>
      <c r="J4" s="137"/>
      <c r="K4" s="318"/>
    </row>
    <row r="5" spans="1:11" x14ac:dyDescent="0.2">
      <c r="A5" s="226"/>
      <c r="B5" s="137"/>
      <c r="C5" s="137"/>
      <c r="D5" s="137"/>
      <c r="E5" s="137"/>
      <c r="F5" s="137"/>
      <c r="G5" s="137"/>
      <c r="H5" s="137"/>
      <c r="I5" s="137"/>
      <c r="J5" s="137"/>
      <c r="K5" s="318"/>
    </row>
    <row r="6" spans="1:11" x14ac:dyDescent="0.2">
      <c r="A6" s="226"/>
      <c r="B6" s="137"/>
      <c r="C6" s="137"/>
      <c r="D6" s="137"/>
      <c r="E6" s="137"/>
      <c r="F6" s="137"/>
      <c r="G6" s="137"/>
      <c r="H6" s="137"/>
      <c r="I6" s="137"/>
      <c r="J6" s="137"/>
      <c r="K6" s="318"/>
    </row>
    <row r="7" spans="1:11" x14ac:dyDescent="0.2">
      <c r="A7" s="226"/>
      <c r="B7" s="137"/>
      <c r="C7" s="137"/>
      <c r="D7" s="137"/>
      <c r="E7" s="137"/>
      <c r="F7" s="137"/>
      <c r="G7" s="137"/>
      <c r="H7" s="137"/>
      <c r="I7" s="137"/>
      <c r="J7" s="137"/>
      <c r="K7" s="318"/>
    </row>
    <row r="8" spans="1:11" x14ac:dyDescent="0.2">
      <c r="A8" s="226"/>
      <c r="B8" s="137"/>
      <c r="C8" s="137"/>
      <c r="D8" s="137"/>
      <c r="E8" s="137"/>
      <c r="F8" s="137"/>
      <c r="G8" s="137"/>
      <c r="H8" s="137"/>
      <c r="I8" s="137"/>
      <c r="J8" s="137"/>
      <c r="K8" s="318"/>
    </row>
    <row r="9" spans="1:11" x14ac:dyDescent="0.2">
      <c r="A9" s="226"/>
      <c r="B9" s="137"/>
      <c r="C9" s="137"/>
      <c r="D9" s="137"/>
      <c r="E9" s="137"/>
      <c r="F9" s="137"/>
      <c r="G9" s="137"/>
      <c r="H9" s="137"/>
      <c r="I9" s="137"/>
      <c r="J9" s="137"/>
      <c r="K9" s="318"/>
    </row>
    <row r="10" spans="1:11" x14ac:dyDescent="0.2">
      <c r="A10" s="226"/>
      <c r="B10" s="137"/>
      <c r="C10" s="137"/>
      <c r="D10" s="137"/>
      <c r="E10" s="137"/>
      <c r="F10" s="137"/>
      <c r="G10" s="137"/>
      <c r="H10" s="137"/>
      <c r="I10" s="137"/>
      <c r="J10" s="137"/>
      <c r="K10" s="318"/>
    </row>
    <row r="11" spans="1:11" ht="15.75" x14ac:dyDescent="0.2">
      <c r="A11" s="400" t="s">
        <v>1168</v>
      </c>
      <c r="B11" s="401"/>
      <c r="C11" s="401"/>
      <c r="D11" s="401"/>
      <c r="E11" s="401"/>
      <c r="F11" s="401"/>
      <c r="G11" s="380"/>
      <c r="H11" s="323"/>
      <c r="I11" s="323"/>
      <c r="J11" s="401"/>
      <c r="K11" s="435"/>
    </row>
    <row r="12" spans="1:11" ht="15.75" x14ac:dyDescent="0.2">
      <c r="A12" s="400" t="s">
        <v>1167</v>
      </c>
      <c r="B12" s="401"/>
      <c r="C12" s="401"/>
      <c r="D12" s="401"/>
      <c r="E12" s="401"/>
      <c r="F12" s="401"/>
      <c r="G12" s="380"/>
      <c r="H12" s="323"/>
      <c r="I12" s="323"/>
      <c r="J12" s="324"/>
      <c r="K12" s="368"/>
    </row>
    <row r="13" spans="1:11" ht="15.75" x14ac:dyDescent="0.2">
      <c r="A13" s="322"/>
      <c r="B13" s="323"/>
      <c r="C13" s="323"/>
      <c r="D13" s="323"/>
      <c r="E13" s="323"/>
      <c r="F13" s="323"/>
      <c r="G13" s="380"/>
      <c r="H13" s="323"/>
      <c r="I13" s="323"/>
      <c r="J13" s="399"/>
      <c r="K13" s="436"/>
    </row>
    <row r="14" spans="1:11" ht="18.75" thickBot="1" x14ac:dyDescent="0.25">
      <c r="A14" s="405" t="s">
        <v>1175</v>
      </c>
      <c r="B14" s="406"/>
      <c r="C14" s="406"/>
      <c r="D14" s="406"/>
      <c r="E14" s="406"/>
      <c r="F14" s="406"/>
      <c r="G14" s="406"/>
      <c r="H14" s="406"/>
      <c r="I14" s="406"/>
      <c r="J14" s="406"/>
      <c r="K14" s="407"/>
    </row>
    <row r="15" spans="1:11" ht="13.5" thickTop="1" x14ac:dyDescent="0.2">
      <c r="A15" s="369"/>
      <c r="B15" s="370"/>
      <c r="C15" s="370"/>
      <c r="D15" s="370"/>
      <c r="E15" s="370"/>
      <c r="F15" s="370"/>
      <c r="G15" s="370"/>
      <c r="H15" s="370"/>
      <c r="I15" s="370"/>
      <c r="J15" s="370"/>
      <c r="K15" s="371"/>
    </row>
    <row r="16" spans="1:11" x14ac:dyDescent="0.2">
      <c r="A16" s="426" t="s">
        <v>0</v>
      </c>
      <c r="B16" s="428" t="s">
        <v>1170</v>
      </c>
      <c r="C16" s="432" t="s">
        <v>1171</v>
      </c>
      <c r="D16" s="433"/>
      <c r="E16" s="433"/>
      <c r="F16" s="433"/>
      <c r="G16" s="433"/>
      <c r="H16" s="433"/>
      <c r="I16" s="434"/>
      <c r="J16" s="428" t="s">
        <v>28</v>
      </c>
      <c r="K16" s="430" t="s">
        <v>1172</v>
      </c>
    </row>
    <row r="17" spans="1:14" x14ac:dyDescent="0.2">
      <c r="A17" s="427"/>
      <c r="B17" s="429"/>
      <c r="C17" s="362">
        <v>30</v>
      </c>
      <c r="D17" s="362">
        <v>60</v>
      </c>
      <c r="E17" s="362">
        <v>90</v>
      </c>
      <c r="F17" s="362">
        <v>120</v>
      </c>
      <c r="G17" s="362">
        <v>150</v>
      </c>
      <c r="H17" s="362">
        <v>180</v>
      </c>
      <c r="I17" s="381">
        <v>210</v>
      </c>
      <c r="J17" s="429"/>
      <c r="K17" s="431"/>
    </row>
    <row r="18" spans="1:14" ht="15" x14ac:dyDescent="0.2">
      <c r="A18" s="372" t="str">
        <f>'Planilha Orçamentária'!B16</f>
        <v>1.0</v>
      </c>
      <c r="B18" s="382" t="str">
        <f>'Planilha Orçamentária'!C16</f>
        <v>SERVIÇOS PRELIMINARES</v>
      </c>
      <c r="C18" s="386">
        <v>3169.17</v>
      </c>
      <c r="D18" s="365" t="s">
        <v>1176</v>
      </c>
      <c r="E18" s="365" t="s">
        <v>1176</v>
      </c>
      <c r="F18" s="365" t="s">
        <v>1176</v>
      </c>
      <c r="G18" s="365" t="s">
        <v>1176</v>
      </c>
      <c r="H18" s="365" t="s">
        <v>1176</v>
      </c>
      <c r="I18" s="365" t="s">
        <v>1176</v>
      </c>
      <c r="J18" s="365">
        <f>'Planilha Orçamentária'!I16</f>
        <v>3169.17</v>
      </c>
      <c r="K18" s="373">
        <f>J18/$J$34</f>
        <v>3.6085405987489982E-3</v>
      </c>
      <c r="L18" s="363"/>
      <c r="M18" s="363">
        <f>SUM(C18:I18)</f>
        <v>3169.17</v>
      </c>
      <c r="N18" s="363">
        <f>J18-M18</f>
        <v>0</v>
      </c>
    </row>
    <row r="19" spans="1:14" ht="15" x14ac:dyDescent="0.2">
      <c r="A19" s="372" t="str">
        <f>'Planilha Orçamentária'!B20</f>
        <v>2.0</v>
      </c>
      <c r="B19" s="382" t="str">
        <f>'Planilha Orçamentária'!C20</f>
        <v>DEMOLIÇÕES E RETIRADAS</v>
      </c>
      <c r="C19" s="386">
        <v>18114.84</v>
      </c>
      <c r="D19" s="365" t="s">
        <v>1176</v>
      </c>
      <c r="E19" s="365" t="s">
        <v>1176</v>
      </c>
      <c r="F19" s="365" t="s">
        <v>1176</v>
      </c>
      <c r="G19" s="365" t="s">
        <v>1176</v>
      </c>
      <c r="H19" s="365" t="s">
        <v>1176</v>
      </c>
      <c r="I19" s="365" t="s">
        <v>1176</v>
      </c>
      <c r="J19" s="365">
        <f>'Planilha Orçamentária'!I20</f>
        <v>18114.840000000004</v>
      </c>
      <c r="K19" s="373">
        <f t="shared" ref="K19:K32" si="0">J19/$J$34</f>
        <v>2.0626263526362522E-2</v>
      </c>
      <c r="M19" s="363">
        <f t="shared" ref="M19:M32" si="1">SUM(C19:I19)</f>
        <v>18114.84</v>
      </c>
      <c r="N19" s="363">
        <f t="shared" ref="N19:N32" si="2">J19-M19</f>
        <v>0</v>
      </c>
    </row>
    <row r="20" spans="1:14" ht="15" x14ac:dyDescent="0.2">
      <c r="A20" s="372" t="str">
        <f>'Planilha Orçamentária'!B40</f>
        <v>3.0</v>
      </c>
      <c r="B20" s="382" t="str">
        <f>'Planilha Orçamentária'!C40</f>
        <v>ANDAIME</v>
      </c>
      <c r="C20" s="386">
        <v>1920</v>
      </c>
      <c r="D20" s="365">
        <v>1920</v>
      </c>
      <c r="E20" s="365">
        <v>1920</v>
      </c>
      <c r="F20" s="365">
        <v>1920</v>
      </c>
      <c r="G20" s="365" t="s">
        <v>1176</v>
      </c>
      <c r="H20" s="365">
        <v>1878.56</v>
      </c>
      <c r="I20" s="365" t="s">
        <v>1176</v>
      </c>
      <c r="J20" s="365">
        <f>'Planilha Orçamentária'!I40</f>
        <v>9558.56</v>
      </c>
      <c r="K20" s="373">
        <f t="shared" si="0"/>
        <v>1.0883749317827134E-2</v>
      </c>
      <c r="M20" s="363">
        <f t="shared" si="1"/>
        <v>9558.56</v>
      </c>
      <c r="N20" s="363">
        <f t="shared" si="2"/>
        <v>0</v>
      </c>
    </row>
    <row r="21" spans="1:14" ht="15" x14ac:dyDescent="0.2">
      <c r="A21" s="372" t="str">
        <f>'Planilha Orçamentária'!B49</f>
        <v>4.0</v>
      </c>
      <c r="B21" s="382" t="str">
        <f>'Planilha Orçamentária'!C49</f>
        <v>TRANSPORTE DE MATERIAIS</v>
      </c>
      <c r="C21" s="386">
        <v>1457.96</v>
      </c>
      <c r="D21" s="365">
        <v>1400</v>
      </c>
      <c r="E21" s="365" t="s">
        <v>1176</v>
      </c>
      <c r="F21" s="365" t="s">
        <v>1176</v>
      </c>
      <c r="G21" s="365" t="s">
        <v>1176</v>
      </c>
      <c r="H21" s="365" t="s">
        <v>1176</v>
      </c>
      <c r="I21" s="365" t="s">
        <v>1176</v>
      </c>
      <c r="J21" s="365">
        <f>'Planilha Orçamentária'!I49</f>
        <v>2857.96</v>
      </c>
      <c r="K21" s="373">
        <f t="shared" si="0"/>
        <v>3.2541847517175431E-3</v>
      </c>
      <c r="M21" s="363">
        <f t="shared" si="1"/>
        <v>2857.96</v>
      </c>
      <c r="N21" s="363">
        <f t="shared" si="2"/>
        <v>0</v>
      </c>
    </row>
    <row r="22" spans="1:14" ht="15" x14ac:dyDescent="0.2">
      <c r="A22" s="372" t="str">
        <f>'Planilha Orçamentária'!B54</f>
        <v>5.0</v>
      </c>
      <c r="B22" s="382" t="str">
        <f>'Planilha Orçamentária'!C54</f>
        <v>FUNDAÇÃO</v>
      </c>
      <c r="C22" s="386" t="s">
        <v>1176</v>
      </c>
      <c r="D22" s="365">
        <v>849.27</v>
      </c>
      <c r="E22" s="365" t="s">
        <v>1176</v>
      </c>
      <c r="F22" s="365" t="s">
        <v>1176</v>
      </c>
      <c r="G22" s="365" t="s">
        <v>1176</v>
      </c>
      <c r="H22" s="365" t="s">
        <v>1176</v>
      </c>
      <c r="I22" s="365" t="s">
        <v>1176</v>
      </c>
      <c r="J22" s="365">
        <f>'Planilha Orçamentária'!I54</f>
        <v>849.27</v>
      </c>
      <c r="K22" s="373">
        <f t="shared" si="0"/>
        <v>9.6701195401305751E-4</v>
      </c>
      <c r="M22" s="363">
        <f t="shared" si="1"/>
        <v>849.27</v>
      </c>
      <c r="N22" s="363">
        <f t="shared" si="2"/>
        <v>0</v>
      </c>
    </row>
    <row r="23" spans="1:14" ht="15" x14ac:dyDescent="0.2">
      <c r="A23" s="372" t="str">
        <f>'Planilha Orçamentária'!B59</f>
        <v>6.0</v>
      </c>
      <c r="B23" s="382" t="str">
        <f>'Planilha Orçamentária'!C59</f>
        <v>ESTRUTURA</v>
      </c>
      <c r="C23" s="386">
        <v>6606.68</v>
      </c>
      <c r="D23" s="365" t="s">
        <v>1176</v>
      </c>
      <c r="E23" s="365" t="s">
        <v>1176</v>
      </c>
      <c r="F23" s="365" t="s">
        <v>1176</v>
      </c>
      <c r="G23" s="365" t="s">
        <v>1176</v>
      </c>
      <c r="H23" s="365" t="s">
        <v>1176</v>
      </c>
      <c r="I23" s="365" t="s">
        <v>1176</v>
      </c>
      <c r="J23" s="365">
        <f>'Planilha Orçamentária'!I59</f>
        <v>6606.6799999999994</v>
      </c>
      <c r="K23" s="373">
        <f t="shared" si="0"/>
        <v>7.5226235900702791E-3</v>
      </c>
      <c r="M23" s="363">
        <f>SUM(C23:I23)</f>
        <v>6606.68</v>
      </c>
      <c r="N23" s="363">
        <f t="shared" si="2"/>
        <v>0</v>
      </c>
    </row>
    <row r="24" spans="1:14" ht="15" x14ac:dyDescent="0.2">
      <c r="A24" s="372" t="str">
        <f>'Planilha Orçamentária'!B64</f>
        <v>7.0</v>
      </c>
      <c r="B24" s="382" t="str">
        <f>'Planilha Orçamentária'!C64</f>
        <v>ALVENARIA E DIVISÓRIA</v>
      </c>
      <c r="C24" s="386">
        <v>7977.16</v>
      </c>
      <c r="D24" s="365" t="s">
        <v>1176</v>
      </c>
      <c r="E24" s="365">
        <v>5741.21</v>
      </c>
      <c r="F24" s="365" t="s">
        <v>1176</v>
      </c>
      <c r="G24" s="365" t="s">
        <v>1176</v>
      </c>
      <c r="H24" s="365" t="s">
        <v>1176</v>
      </c>
      <c r="I24" s="365" t="s">
        <v>1176</v>
      </c>
      <c r="J24" s="365">
        <f>'Planilha Orçamentária'!I64</f>
        <v>13718.37</v>
      </c>
      <c r="K24" s="373">
        <f t="shared" si="0"/>
        <v>1.5620271267764208E-2</v>
      </c>
      <c r="M24" s="363">
        <f t="shared" si="1"/>
        <v>13718.369999999999</v>
      </c>
      <c r="N24" s="363">
        <f t="shared" si="2"/>
        <v>0</v>
      </c>
    </row>
    <row r="25" spans="1:14" ht="30" x14ac:dyDescent="0.2">
      <c r="A25" s="372" t="str">
        <f>'Planilha Orçamentária'!B70</f>
        <v>8.0</v>
      </c>
      <c r="B25" s="383" t="str">
        <f>'Planilha Orçamentária'!C70</f>
        <v>REVESTIMENTO DE PAREDES, TETOS E PISOS</v>
      </c>
      <c r="C25" s="386">
        <v>3338.36</v>
      </c>
      <c r="D25" s="365">
        <v>4000</v>
      </c>
      <c r="E25" s="365">
        <v>30000</v>
      </c>
      <c r="F25" s="365">
        <v>27047.48</v>
      </c>
      <c r="G25" s="365" t="s">
        <v>1176</v>
      </c>
      <c r="H25" s="365" t="s">
        <v>1176</v>
      </c>
      <c r="I25" s="365" t="s">
        <v>1176</v>
      </c>
      <c r="J25" s="365">
        <f>'Planilha Orçamentária'!I70</f>
        <v>64385.840000000018</v>
      </c>
      <c r="K25" s="373">
        <f t="shared" si="0"/>
        <v>7.3312229266513707E-2</v>
      </c>
      <c r="M25" s="363">
        <f t="shared" si="1"/>
        <v>64385.84</v>
      </c>
      <c r="N25" s="363">
        <f t="shared" si="2"/>
        <v>0</v>
      </c>
    </row>
    <row r="26" spans="1:14" ht="15" x14ac:dyDescent="0.2">
      <c r="A26" s="372" t="str">
        <f>'Planilha Orçamentária'!B91</f>
        <v>9.0</v>
      </c>
      <c r="B26" s="382" t="str">
        <f>'Planilha Orçamentária'!C91</f>
        <v>ESQUADRIAS</v>
      </c>
      <c r="C26" s="386" t="s">
        <v>1176</v>
      </c>
      <c r="D26" s="365" t="s">
        <v>1176</v>
      </c>
      <c r="E26" s="365">
        <v>34955.9</v>
      </c>
      <c r="F26" s="365">
        <v>45000</v>
      </c>
      <c r="G26" s="365">
        <v>45000</v>
      </c>
      <c r="H26" s="365" t="s">
        <v>1176</v>
      </c>
      <c r="I26" s="365" t="s">
        <v>1176</v>
      </c>
      <c r="J26" s="365">
        <f>'Planilha Orçamentária'!I91</f>
        <v>124955.9</v>
      </c>
      <c r="K26" s="373">
        <f t="shared" si="0"/>
        <v>0.14227966256250688</v>
      </c>
      <c r="M26" s="363">
        <f t="shared" si="1"/>
        <v>124955.9</v>
      </c>
      <c r="N26" s="363">
        <f t="shared" si="2"/>
        <v>0</v>
      </c>
    </row>
    <row r="27" spans="1:14" ht="15" x14ac:dyDescent="0.2">
      <c r="A27" s="372" t="str">
        <f>'Planilha Orçamentária'!B97</f>
        <v>10.0</v>
      </c>
      <c r="B27" s="383" t="str">
        <f>'Planilha Orçamentária'!C97</f>
        <v>INSTALAÇÕES HIDROSSANITÁRIAS</v>
      </c>
      <c r="C27" s="386">
        <v>7471.51</v>
      </c>
      <c r="D27" s="365"/>
      <c r="E27" s="365" t="s">
        <v>1176</v>
      </c>
      <c r="F27" s="365" t="s">
        <v>1176</v>
      </c>
      <c r="G27" s="365" t="s">
        <v>1176</v>
      </c>
      <c r="H27" s="365" t="s">
        <v>1176</v>
      </c>
      <c r="I27" s="365" t="s">
        <v>1176</v>
      </c>
      <c r="J27" s="365">
        <f>'Planilha Orçamentária'!I97</f>
        <v>7471.5100000000011</v>
      </c>
      <c r="K27" s="373">
        <f t="shared" si="0"/>
        <v>8.5073527671154052E-3</v>
      </c>
      <c r="M27" s="363">
        <f t="shared" si="1"/>
        <v>7471.51</v>
      </c>
      <c r="N27" s="363">
        <f t="shared" si="2"/>
        <v>0</v>
      </c>
    </row>
    <row r="28" spans="1:14" ht="15" x14ac:dyDescent="0.2">
      <c r="A28" s="372" t="str">
        <f>'Planilha Orçamentária'!B110</f>
        <v>11.0</v>
      </c>
      <c r="B28" s="382" t="str">
        <f>'Planilha Orçamentária'!C110</f>
        <v>COBERTURA</v>
      </c>
      <c r="C28" s="386">
        <v>20000</v>
      </c>
      <c r="D28" s="365">
        <v>25440.06</v>
      </c>
      <c r="E28" s="365" t="s">
        <v>1176</v>
      </c>
      <c r="F28" s="365" t="s">
        <v>1176</v>
      </c>
      <c r="G28" s="365" t="s">
        <v>1176</v>
      </c>
      <c r="H28" s="365" t="s">
        <v>1176</v>
      </c>
      <c r="I28" s="365" t="s">
        <v>1176</v>
      </c>
      <c r="J28" s="365">
        <f>'Planilha Orçamentária'!I110</f>
        <v>45440.06</v>
      </c>
      <c r="K28" s="373">
        <f t="shared" si="0"/>
        <v>5.1739825039234369E-2</v>
      </c>
      <c r="M28" s="363">
        <f t="shared" si="1"/>
        <v>45440.06</v>
      </c>
      <c r="N28" s="363">
        <f t="shared" si="2"/>
        <v>0</v>
      </c>
    </row>
    <row r="29" spans="1:14" ht="13.5" customHeight="1" x14ac:dyDescent="0.2">
      <c r="A29" s="372" t="str">
        <f>'Planilha Orçamentária'!B117</f>
        <v>12.0</v>
      </c>
      <c r="B29" s="382" t="str">
        <f>'Planilha Orçamentária'!C117</f>
        <v>ELÉTRICA , LOGICA E AR</v>
      </c>
      <c r="C29" s="386" t="s">
        <v>1176</v>
      </c>
      <c r="D29" s="365">
        <v>73865.73</v>
      </c>
      <c r="E29" s="365">
        <v>100000</v>
      </c>
      <c r="F29" s="365">
        <v>64113.04</v>
      </c>
      <c r="G29" s="365">
        <v>80000</v>
      </c>
      <c r="H29" s="365">
        <v>80000</v>
      </c>
      <c r="I29" s="365">
        <v>20000</v>
      </c>
      <c r="J29" s="365">
        <f>'Planilha Orçamentária'!I117</f>
        <v>417978.7699999999</v>
      </c>
      <c r="K29" s="373">
        <f t="shared" si="0"/>
        <v>0.47592693385339674</v>
      </c>
      <c r="M29" s="363">
        <f>SUM(C29:I29)</f>
        <v>417978.77</v>
      </c>
      <c r="N29" s="363">
        <f t="shared" si="2"/>
        <v>0</v>
      </c>
    </row>
    <row r="30" spans="1:14" ht="13.5" customHeight="1" x14ac:dyDescent="0.2">
      <c r="A30" s="372" t="str">
        <f>'Planilha Orçamentária'!B202</f>
        <v>13.0</v>
      </c>
      <c r="B30" s="382" t="str">
        <f>'Planilha Orçamentária'!C202</f>
        <v>PINTURA</v>
      </c>
      <c r="C30" s="386" t="s">
        <v>1176</v>
      </c>
      <c r="D30" s="365" t="s">
        <v>1176</v>
      </c>
      <c r="E30" s="365" t="s">
        <v>1176</v>
      </c>
      <c r="F30" s="365" t="s">
        <v>1176</v>
      </c>
      <c r="G30" s="365" t="s">
        <v>1176</v>
      </c>
      <c r="H30" s="365">
        <v>24831.94</v>
      </c>
      <c r="I30" s="365">
        <v>20000</v>
      </c>
      <c r="J30" s="365">
        <f>'Planilha Orçamentária'!I202</f>
        <v>44831.94</v>
      </c>
      <c r="K30" s="373">
        <f t="shared" si="0"/>
        <v>5.1047395883047977E-2</v>
      </c>
      <c r="M30" s="363">
        <f t="shared" si="1"/>
        <v>44831.94</v>
      </c>
      <c r="N30" s="363">
        <f t="shared" si="2"/>
        <v>0</v>
      </c>
    </row>
    <row r="31" spans="1:14" ht="13.5" customHeight="1" x14ac:dyDescent="0.2">
      <c r="A31" s="372" t="str">
        <f>'Planilha Orçamentária'!B210</f>
        <v>14.0</v>
      </c>
      <c r="B31" s="382" t="str">
        <f>'Planilha Orçamentária'!C210</f>
        <v>LOUÇAS E METAIS</v>
      </c>
      <c r="C31" s="386" t="s">
        <v>1176</v>
      </c>
      <c r="D31" s="365" t="s">
        <v>1176</v>
      </c>
      <c r="E31" s="365" t="s">
        <v>1176</v>
      </c>
      <c r="F31" s="365">
        <v>7179.36</v>
      </c>
      <c r="G31" s="365" t="s">
        <v>1176</v>
      </c>
      <c r="H31" s="365">
        <v>8000</v>
      </c>
      <c r="I31" s="365" t="s">
        <v>1176</v>
      </c>
      <c r="J31" s="365">
        <f>'Planilha Orçamentária'!I210</f>
        <v>15179.359999999999</v>
      </c>
      <c r="K31" s="373">
        <f t="shared" si="0"/>
        <v>1.7283811478408094E-2</v>
      </c>
      <c r="M31" s="363">
        <f t="shared" si="1"/>
        <v>15179.36</v>
      </c>
      <c r="N31" s="363">
        <f t="shared" si="2"/>
        <v>0</v>
      </c>
    </row>
    <row r="32" spans="1:14" ht="13.5" customHeight="1" x14ac:dyDescent="0.2">
      <c r="A32" s="372" t="str">
        <f>'Planilha Orçamentária'!B228</f>
        <v>15.0</v>
      </c>
      <c r="B32" s="382" t="str">
        <f>'Planilha Orçamentária'!C228</f>
        <v>ELEVADOR</v>
      </c>
      <c r="C32" s="386" t="s">
        <v>1176</v>
      </c>
      <c r="D32" s="365" t="s">
        <v>1176</v>
      </c>
      <c r="E32" s="365" t="s">
        <v>1176</v>
      </c>
      <c r="F32" s="365" t="s">
        <v>1176</v>
      </c>
      <c r="G32" s="365" t="s">
        <v>1176</v>
      </c>
      <c r="H32" s="365">
        <v>103123.24</v>
      </c>
      <c r="I32" s="365" t="s">
        <v>1176</v>
      </c>
      <c r="J32" s="365">
        <f>'Planilha Orçamentária'!I228</f>
        <v>103123.24</v>
      </c>
      <c r="K32" s="373">
        <f t="shared" si="0"/>
        <v>0.11742014414327305</v>
      </c>
      <c r="M32" s="363">
        <f t="shared" si="1"/>
        <v>103123.24</v>
      </c>
      <c r="N32" s="363">
        <f t="shared" si="2"/>
        <v>0</v>
      </c>
    </row>
    <row r="33" spans="1:14" ht="13.5" customHeight="1" x14ac:dyDescent="0.2">
      <c r="A33" s="375"/>
      <c r="B33" s="376"/>
      <c r="C33" s="387"/>
      <c r="D33" s="365"/>
      <c r="E33" s="365"/>
      <c r="F33" s="388"/>
      <c r="G33" s="388"/>
      <c r="H33" s="388"/>
      <c r="I33" s="388"/>
      <c r="J33" s="388"/>
      <c r="K33" s="389"/>
      <c r="M33" s="363"/>
      <c r="N33" s="363">
        <f t="shared" ref="N33:N34" si="3">J33-M33</f>
        <v>0</v>
      </c>
    </row>
    <row r="34" spans="1:14" ht="15" x14ac:dyDescent="0.2">
      <c r="A34" s="377"/>
      <c r="B34" s="384" t="s">
        <v>28</v>
      </c>
      <c r="C34" s="390">
        <f t="shared" ref="C34:K34" si="4">ROUND(SUM(C18:C32),2)</f>
        <v>70055.679999999993</v>
      </c>
      <c r="D34" s="364">
        <f t="shared" si="4"/>
        <v>107475.06</v>
      </c>
      <c r="E34" s="364">
        <f t="shared" si="4"/>
        <v>172617.11</v>
      </c>
      <c r="F34" s="364">
        <f t="shared" si="4"/>
        <v>145259.88</v>
      </c>
      <c r="G34" s="364">
        <f t="shared" ref="G34" si="5">ROUND(SUM(G18:G32),2)</f>
        <v>125000</v>
      </c>
      <c r="H34" s="364">
        <f t="shared" si="4"/>
        <v>217833.74</v>
      </c>
      <c r="I34" s="364">
        <f t="shared" si="4"/>
        <v>40000</v>
      </c>
      <c r="J34" s="366">
        <f t="shared" si="4"/>
        <v>878241.47</v>
      </c>
      <c r="K34" s="373">
        <f t="shared" si="4"/>
        <v>1</v>
      </c>
      <c r="L34" s="363"/>
      <c r="M34" s="363">
        <f t="shared" ref="M34" si="6">SUM(C34:I34)</f>
        <v>878241.47</v>
      </c>
      <c r="N34" s="363">
        <f t="shared" si="3"/>
        <v>0</v>
      </c>
    </row>
    <row r="35" spans="1:14" ht="15" x14ac:dyDescent="0.2">
      <c r="A35" s="378"/>
      <c r="B35" s="384" t="s">
        <v>1172</v>
      </c>
      <c r="C35" s="391">
        <f t="shared" ref="C35:I35" si="7">C34/$J$34</f>
        <v>7.9768130284259969E-2</v>
      </c>
      <c r="D35" s="367">
        <f t="shared" si="7"/>
        <v>0.1223752961699702</v>
      </c>
      <c r="E35" s="367">
        <f t="shared" si="7"/>
        <v>0.19654857564400824</v>
      </c>
      <c r="F35" s="367">
        <f t="shared" si="7"/>
        <v>0.16539856629635127</v>
      </c>
      <c r="G35" s="367">
        <f t="shared" si="7"/>
        <v>0.14232987654295123</v>
      </c>
      <c r="H35" s="367">
        <f t="shared" si="7"/>
        <v>0.24803399456871469</v>
      </c>
      <c r="I35" s="367">
        <f t="shared" si="7"/>
        <v>4.5545560493744391E-2</v>
      </c>
      <c r="J35" s="392"/>
      <c r="K35" s="393"/>
    </row>
    <row r="36" spans="1:14" ht="15" x14ac:dyDescent="0.2">
      <c r="A36" s="378"/>
      <c r="B36" s="384" t="s">
        <v>1173</v>
      </c>
      <c r="C36" s="390">
        <f>C34</f>
        <v>70055.679999999993</v>
      </c>
      <c r="D36" s="364">
        <f t="shared" ref="D36:F37" si="8">C36+D34</f>
        <v>177530.74</v>
      </c>
      <c r="E36" s="364">
        <f t="shared" si="8"/>
        <v>350147.85</v>
      </c>
      <c r="F36" s="364">
        <f t="shared" si="8"/>
        <v>495407.73</v>
      </c>
      <c r="G36" s="364">
        <f>F36+G34</f>
        <v>620407.73</v>
      </c>
      <c r="H36" s="364">
        <f>G36+H34</f>
        <v>838241.47</v>
      </c>
      <c r="I36" s="364">
        <f t="shared" ref="I36:I37" si="9">H36+I34</f>
        <v>878241.47</v>
      </c>
      <c r="J36" s="394"/>
      <c r="K36" s="395"/>
    </row>
    <row r="37" spans="1:14" ht="15.75" thickBot="1" x14ac:dyDescent="0.25">
      <c r="A37" s="379"/>
      <c r="B37" s="385" t="s">
        <v>1174</v>
      </c>
      <c r="C37" s="396">
        <f>C35</f>
        <v>7.9768130284259969E-2</v>
      </c>
      <c r="D37" s="374">
        <f t="shared" si="8"/>
        <v>0.20214342645423017</v>
      </c>
      <c r="E37" s="374">
        <f t="shared" ref="E37" si="10">D37+E35</f>
        <v>0.39869200209823841</v>
      </c>
      <c r="F37" s="374">
        <f t="shared" ref="F37" si="11">E37+F35</f>
        <v>0.56409056839458971</v>
      </c>
      <c r="G37" s="374">
        <f>F37+G35</f>
        <v>0.70642044493754097</v>
      </c>
      <c r="H37" s="374">
        <f>G37+H35</f>
        <v>0.95445443950625564</v>
      </c>
      <c r="I37" s="374">
        <f t="shared" si="9"/>
        <v>1</v>
      </c>
      <c r="J37" s="397"/>
      <c r="K37" s="398"/>
    </row>
  </sheetData>
  <mergeCells count="10">
    <mergeCell ref="A11:F11"/>
    <mergeCell ref="J11:K11"/>
    <mergeCell ref="A12:F12"/>
    <mergeCell ref="J13:K13"/>
    <mergeCell ref="A14:K14"/>
    <mergeCell ref="A16:A17"/>
    <mergeCell ref="B16:B17"/>
    <mergeCell ref="J16:J17"/>
    <mergeCell ref="K16:K17"/>
    <mergeCell ref="C16:I16"/>
  </mergeCells>
  <printOptions horizontalCentered="1"/>
  <pageMargins left="0.78740157480314965" right="0.78740157480314965" top="0.59055118110236227" bottom="0.78740157480314965" header="0.51181102362204722" footer="0.51181102362204722"/>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6"/>
  <sheetViews>
    <sheetView showGridLines="0" view="pageBreakPreview" topLeftCell="A16" zoomScaleNormal="100" zoomScaleSheetLayoutView="100" workbookViewId="0">
      <selection activeCell="D45" sqref="D45:E45"/>
    </sheetView>
  </sheetViews>
  <sheetFormatPr defaultRowHeight="12.75" x14ac:dyDescent="0.25"/>
  <cols>
    <col min="1" max="1" width="36.28515625" style="72" customWidth="1"/>
    <col min="2" max="2" width="15.28515625" style="72" bestFit="1" customWidth="1"/>
    <col min="3" max="3" width="14.5703125" style="72" customWidth="1"/>
    <col min="4" max="4" width="15.42578125" style="72" customWidth="1"/>
    <col min="5" max="5" width="18.42578125" style="72" bestFit="1" customWidth="1"/>
    <col min="6" max="6" width="9" style="72" bestFit="1" customWidth="1"/>
    <col min="7" max="7" width="11" style="72" customWidth="1"/>
    <col min="8" max="256" width="9.140625" style="72"/>
    <col min="257" max="257" width="36.28515625" style="72" customWidth="1"/>
    <col min="258" max="258" width="15.28515625" style="72" bestFit="1" customWidth="1"/>
    <col min="259" max="259" width="14.5703125" style="72" customWidth="1"/>
    <col min="260" max="260" width="15.42578125" style="72" customWidth="1"/>
    <col min="261" max="261" width="18.42578125" style="72" bestFit="1" customWidth="1"/>
    <col min="262" max="262" width="9" style="72" bestFit="1" customWidth="1"/>
    <col min="263" max="263" width="11" style="72" customWidth="1"/>
    <col min="264" max="512" width="9.140625" style="72"/>
    <col min="513" max="513" width="36.28515625" style="72" customWidth="1"/>
    <col min="514" max="514" width="15.28515625" style="72" bestFit="1" customWidth="1"/>
    <col min="515" max="515" width="14.5703125" style="72" customWidth="1"/>
    <col min="516" max="516" width="15.42578125" style="72" customWidth="1"/>
    <col min="517" max="517" width="18.42578125" style="72" bestFit="1" customWidth="1"/>
    <col min="518" max="518" width="9" style="72" bestFit="1" customWidth="1"/>
    <col min="519" max="519" width="11" style="72" customWidth="1"/>
    <col min="520" max="768" width="9.140625" style="72"/>
    <col min="769" max="769" width="36.28515625" style="72" customWidth="1"/>
    <col min="770" max="770" width="15.28515625" style="72" bestFit="1" customWidth="1"/>
    <col min="771" max="771" width="14.5703125" style="72" customWidth="1"/>
    <col min="772" max="772" width="15.42578125" style="72" customWidth="1"/>
    <col min="773" max="773" width="18.42578125" style="72" bestFit="1" customWidth="1"/>
    <col min="774" max="774" width="9" style="72" bestFit="1" customWidth="1"/>
    <col min="775" max="775" width="11" style="72" customWidth="1"/>
    <col min="776" max="1024" width="9.140625" style="72"/>
    <col min="1025" max="1025" width="36.28515625" style="72" customWidth="1"/>
    <col min="1026" max="1026" width="15.28515625" style="72" bestFit="1" customWidth="1"/>
    <col min="1027" max="1027" width="14.5703125" style="72" customWidth="1"/>
    <col min="1028" max="1028" width="15.42578125" style="72" customWidth="1"/>
    <col min="1029" max="1029" width="18.42578125" style="72" bestFit="1" customWidth="1"/>
    <col min="1030" max="1030" width="9" style="72" bestFit="1" customWidth="1"/>
    <col min="1031" max="1031" width="11" style="72" customWidth="1"/>
    <col min="1032" max="1280" width="9.140625" style="72"/>
    <col min="1281" max="1281" width="36.28515625" style="72" customWidth="1"/>
    <col min="1282" max="1282" width="15.28515625" style="72" bestFit="1" customWidth="1"/>
    <col min="1283" max="1283" width="14.5703125" style="72" customWidth="1"/>
    <col min="1284" max="1284" width="15.42578125" style="72" customWidth="1"/>
    <col min="1285" max="1285" width="18.42578125" style="72" bestFit="1" customWidth="1"/>
    <col min="1286" max="1286" width="9" style="72" bestFit="1" customWidth="1"/>
    <col min="1287" max="1287" width="11" style="72" customWidth="1"/>
    <col min="1288" max="1536" width="9.140625" style="72"/>
    <col min="1537" max="1537" width="36.28515625" style="72" customWidth="1"/>
    <col min="1538" max="1538" width="15.28515625" style="72" bestFit="1" customWidth="1"/>
    <col min="1539" max="1539" width="14.5703125" style="72" customWidth="1"/>
    <col min="1540" max="1540" width="15.42578125" style="72" customWidth="1"/>
    <col min="1541" max="1541" width="18.42578125" style="72" bestFit="1" customWidth="1"/>
    <col min="1542" max="1542" width="9" style="72" bestFit="1" customWidth="1"/>
    <col min="1543" max="1543" width="11" style="72" customWidth="1"/>
    <col min="1544" max="1792" width="9.140625" style="72"/>
    <col min="1793" max="1793" width="36.28515625" style="72" customWidth="1"/>
    <col min="1794" max="1794" width="15.28515625" style="72" bestFit="1" customWidth="1"/>
    <col min="1795" max="1795" width="14.5703125" style="72" customWidth="1"/>
    <col min="1796" max="1796" width="15.42578125" style="72" customWidth="1"/>
    <col min="1797" max="1797" width="18.42578125" style="72" bestFit="1" customWidth="1"/>
    <col min="1798" max="1798" width="9" style="72" bestFit="1" customWidth="1"/>
    <col min="1799" max="1799" width="11" style="72" customWidth="1"/>
    <col min="1800" max="2048" width="9.140625" style="72"/>
    <col min="2049" max="2049" width="36.28515625" style="72" customWidth="1"/>
    <col min="2050" max="2050" width="15.28515625" style="72" bestFit="1" customWidth="1"/>
    <col min="2051" max="2051" width="14.5703125" style="72" customWidth="1"/>
    <col min="2052" max="2052" width="15.42578125" style="72" customWidth="1"/>
    <col min="2053" max="2053" width="18.42578125" style="72" bestFit="1" customWidth="1"/>
    <col min="2054" max="2054" width="9" style="72" bestFit="1" customWidth="1"/>
    <col min="2055" max="2055" width="11" style="72" customWidth="1"/>
    <col min="2056" max="2304" width="9.140625" style="72"/>
    <col min="2305" max="2305" width="36.28515625" style="72" customWidth="1"/>
    <col min="2306" max="2306" width="15.28515625" style="72" bestFit="1" customWidth="1"/>
    <col min="2307" max="2307" width="14.5703125" style="72" customWidth="1"/>
    <col min="2308" max="2308" width="15.42578125" style="72" customWidth="1"/>
    <col min="2309" max="2309" width="18.42578125" style="72" bestFit="1" customWidth="1"/>
    <col min="2310" max="2310" width="9" style="72" bestFit="1" customWidth="1"/>
    <col min="2311" max="2311" width="11" style="72" customWidth="1"/>
    <col min="2312" max="2560" width="9.140625" style="72"/>
    <col min="2561" max="2561" width="36.28515625" style="72" customWidth="1"/>
    <col min="2562" max="2562" width="15.28515625" style="72" bestFit="1" customWidth="1"/>
    <col min="2563" max="2563" width="14.5703125" style="72" customWidth="1"/>
    <col min="2564" max="2564" width="15.42578125" style="72" customWidth="1"/>
    <col min="2565" max="2565" width="18.42578125" style="72" bestFit="1" customWidth="1"/>
    <col min="2566" max="2566" width="9" style="72" bestFit="1" customWidth="1"/>
    <col min="2567" max="2567" width="11" style="72" customWidth="1"/>
    <col min="2568" max="2816" width="9.140625" style="72"/>
    <col min="2817" max="2817" width="36.28515625" style="72" customWidth="1"/>
    <col min="2818" max="2818" width="15.28515625" style="72" bestFit="1" customWidth="1"/>
    <col min="2819" max="2819" width="14.5703125" style="72" customWidth="1"/>
    <col min="2820" max="2820" width="15.42578125" style="72" customWidth="1"/>
    <col min="2821" max="2821" width="18.42578125" style="72" bestFit="1" customWidth="1"/>
    <col min="2822" max="2822" width="9" style="72" bestFit="1" customWidth="1"/>
    <col min="2823" max="2823" width="11" style="72" customWidth="1"/>
    <col min="2824" max="3072" width="9.140625" style="72"/>
    <col min="3073" max="3073" width="36.28515625" style="72" customWidth="1"/>
    <col min="3074" max="3074" width="15.28515625" style="72" bestFit="1" customWidth="1"/>
    <col min="3075" max="3075" width="14.5703125" style="72" customWidth="1"/>
    <col min="3076" max="3076" width="15.42578125" style="72" customWidth="1"/>
    <col min="3077" max="3077" width="18.42578125" style="72" bestFit="1" customWidth="1"/>
    <col min="3078" max="3078" width="9" style="72" bestFit="1" customWidth="1"/>
    <col min="3079" max="3079" width="11" style="72" customWidth="1"/>
    <col min="3080" max="3328" width="9.140625" style="72"/>
    <col min="3329" max="3329" width="36.28515625" style="72" customWidth="1"/>
    <col min="3330" max="3330" width="15.28515625" style="72" bestFit="1" customWidth="1"/>
    <col min="3331" max="3331" width="14.5703125" style="72" customWidth="1"/>
    <col min="3332" max="3332" width="15.42578125" style="72" customWidth="1"/>
    <col min="3333" max="3333" width="18.42578125" style="72" bestFit="1" customWidth="1"/>
    <col min="3334" max="3334" width="9" style="72" bestFit="1" customWidth="1"/>
    <col min="3335" max="3335" width="11" style="72" customWidth="1"/>
    <col min="3336" max="3584" width="9.140625" style="72"/>
    <col min="3585" max="3585" width="36.28515625" style="72" customWidth="1"/>
    <col min="3586" max="3586" width="15.28515625" style="72" bestFit="1" customWidth="1"/>
    <col min="3587" max="3587" width="14.5703125" style="72" customWidth="1"/>
    <col min="3588" max="3588" width="15.42578125" style="72" customWidth="1"/>
    <col min="3589" max="3589" width="18.42578125" style="72" bestFit="1" customWidth="1"/>
    <col min="3590" max="3590" width="9" style="72" bestFit="1" customWidth="1"/>
    <col min="3591" max="3591" width="11" style="72" customWidth="1"/>
    <col min="3592" max="3840" width="9.140625" style="72"/>
    <col min="3841" max="3841" width="36.28515625" style="72" customWidth="1"/>
    <col min="3842" max="3842" width="15.28515625" style="72" bestFit="1" customWidth="1"/>
    <col min="3843" max="3843" width="14.5703125" style="72" customWidth="1"/>
    <col min="3844" max="3844" width="15.42578125" style="72" customWidth="1"/>
    <col min="3845" max="3845" width="18.42578125" style="72" bestFit="1" customWidth="1"/>
    <col min="3846" max="3846" width="9" style="72" bestFit="1" customWidth="1"/>
    <col min="3847" max="3847" width="11" style="72" customWidth="1"/>
    <col min="3848" max="4096" width="9.140625" style="72"/>
    <col min="4097" max="4097" width="36.28515625" style="72" customWidth="1"/>
    <col min="4098" max="4098" width="15.28515625" style="72" bestFit="1" customWidth="1"/>
    <col min="4099" max="4099" width="14.5703125" style="72" customWidth="1"/>
    <col min="4100" max="4100" width="15.42578125" style="72" customWidth="1"/>
    <col min="4101" max="4101" width="18.42578125" style="72" bestFit="1" customWidth="1"/>
    <col min="4102" max="4102" width="9" style="72" bestFit="1" customWidth="1"/>
    <col min="4103" max="4103" width="11" style="72" customWidth="1"/>
    <col min="4104" max="4352" width="9.140625" style="72"/>
    <col min="4353" max="4353" width="36.28515625" style="72" customWidth="1"/>
    <col min="4354" max="4354" width="15.28515625" style="72" bestFit="1" customWidth="1"/>
    <col min="4355" max="4355" width="14.5703125" style="72" customWidth="1"/>
    <col min="4356" max="4356" width="15.42578125" style="72" customWidth="1"/>
    <col min="4357" max="4357" width="18.42578125" style="72" bestFit="1" customWidth="1"/>
    <col min="4358" max="4358" width="9" style="72" bestFit="1" customWidth="1"/>
    <col min="4359" max="4359" width="11" style="72" customWidth="1"/>
    <col min="4360" max="4608" width="9.140625" style="72"/>
    <col min="4609" max="4609" width="36.28515625" style="72" customWidth="1"/>
    <col min="4610" max="4610" width="15.28515625" style="72" bestFit="1" customWidth="1"/>
    <col min="4611" max="4611" width="14.5703125" style="72" customWidth="1"/>
    <col min="4612" max="4612" width="15.42578125" style="72" customWidth="1"/>
    <col min="4613" max="4613" width="18.42578125" style="72" bestFit="1" customWidth="1"/>
    <col min="4614" max="4614" width="9" style="72" bestFit="1" customWidth="1"/>
    <col min="4615" max="4615" width="11" style="72" customWidth="1"/>
    <col min="4616" max="4864" width="9.140625" style="72"/>
    <col min="4865" max="4865" width="36.28515625" style="72" customWidth="1"/>
    <col min="4866" max="4866" width="15.28515625" style="72" bestFit="1" customWidth="1"/>
    <col min="4867" max="4867" width="14.5703125" style="72" customWidth="1"/>
    <col min="4868" max="4868" width="15.42578125" style="72" customWidth="1"/>
    <col min="4869" max="4869" width="18.42578125" style="72" bestFit="1" customWidth="1"/>
    <col min="4870" max="4870" width="9" style="72" bestFit="1" customWidth="1"/>
    <col min="4871" max="4871" width="11" style="72" customWidth="1"/>
    <col min="4872" max="5120" width="9.140625" style="72"/>
    <col min="5121" max="5121" width="36.28515625" style="72" customWidth="1"/>
    <col min="5122" max="5122" width="15.28515625" style="72" bestFit="1" customWidth="1"/>
    <col min="5123" max="5123" width="14.5703125" style="72" customWidth="1"/>
    <col min="5124" max="5124" width="15.42578125" style="72" customWidth="1"/>
    <col min="5125" max="5125" width="18.42578125" style="72" bestFit="1" customWidth="1"/>
    <col min="5126" max="5126" width="9" style="72" bestFit="1" customWidth="1"/>
    <col min="5127" max="5127" width="11" style="72" customWidth="1"/>
    <col min="5128" max="5376" width="9.140625" style="72"/>
    <col min="5377" max="5377" width="36.28515625" style="72" customWidth="1"/>
    <col min="5378" max="5378" width="15.28515625" style="72" bestFit="1" customWidth="1"/>
    <col min="5379" max="5379" width="14.5703125" style="72" customWidth="1"/>
    <col min="5380" max="5380" width="15.42578125" style="72" customWidth="1"/>
    <col min="5381" max="5381" width="18.42578125" style="72" bestFit="1" customWidth="1"/>
    <col min="5382" max="5382" width="9" style="72" bestFit="1" customWidth="1"/>
    <col min="5383" max="5383" width="11" style="72" customWidth="1"/>
    <col min="5384" max="5632" width="9.140625" style="72"/>
    <col min="5633" max="5633" width="36.28515625" style="72" customWidth="1"/>
    <col min="5634" max="5634" width="15.28515625" style="72" bestFit="1" customWidth="1"/>
    <col min="5635" max="5635" width="14.5703125" style="72" customWidth="1"/>
    <col min="5636" max="5636" width="15.42578125" style="72" customWidth="1"/>
    <col min="5637" max="5637" width="18.42578125" style="72" bestFit="1" customWidth="1"/>
    <col min="5638" max="5638" width="9" style="72" bestFit="1" customWidth="1"/>
    <col min="5639" max="5639" width="11" style="72" customWidth="1"/>
    <col min="5640" max="5888" width="9.140625" style="72"/>
    <col min="5889" max="5889" width="36.28515625" style="72" customWidth="1"/>
    <col min="5890" max="5890" width="15.28515625" style="72" bestFit="1" customWidth="1"/>
    <col min="5891" max="5891" width="14.5703125" style="72" customWidth="1"/>
    <col min="5892" max="5892" width="15.42578125" style="72" customWidth="1"/>
    <col min="5893" max="5893" width="18.42578125" style="72" bestFit="1" customWidth="1"/>
    <col min="5894" max="5894" width="9" style="72" bestFit="1" customWidth="1"/>
    <col min="5895" max="5895" width="11" style="72" customWidth="1"/>
    <col min="5896" max="6144" width="9.140625" style="72"/>
    <col min="6145" max="6145" width="36.28515625" style="72" customWidth="1"/>
    <col min="6146" max="6146" width="15.28515625" style="72" bestFit="1" customWidth="1"/>
    <col min="6147" max="6147" width="14.5703125" style="72" customWidth="1"/>
    <col min="6148" max="6148" width="15.42578125" style="72" customWidth="1"/>
    <col min="6149" max="6149" width="18.42578125" style="72" bestFit="1" customWidth="1"/>
    <col min="6150" max="6150" width="9" style="72" bestFit="1" customWidth="1"/>
    <col min="6151" max="6151" width="11" style="72" customWidth="1"/>
    <col min="6152" max="6400" width="9.140625" style="72"/>
    <col min="6401" max="6401" width="36.28515625" style="72" customWidth="1"/>
    <col min="6402" max="6402" width="15.28515625" style="72" bestFit="1" customWidth="1"/>
    <col min="6403" max="6403" width="14.5703125" style="72" customWidth="1"/>
    <col min="6404" max="6404" width="15.42578125" style="72" customWidth="1"/>
    <col min="6405" max="6405" width="18.42578125" style="72" bestFit="1" customWidth="1"/>
    <col min="6406" max="6406" width="9" style="72" bestFit="1" customWidth="1"/>
    <col min="6407" max="6407" width="11" style="72" customWidth="1"/>
    <col min="6408" max="6656" width="9.140625" style="72"/>
    <col min="6657" max="6657" width="36.28515625" style="72" customWidth="1"/>
    <col min="6658" max="6658" width="15.28515625" style="72" bestFit="1" customWidth="1"/>
    <col min="6659" max="6659" width="14.5703125" style="72" customWidth="1"/>
    <col min="6660" max="6660" width="15.42578125" style="72" customWidth="1"/>
    <col min="6661" max="6661" width="18.42578125" style="72" bestFit="1" customWidth="1"/>
    <col min="6662" max="6662" width="9" style="72" bestFit="1" customWidth="1"/>
    <col min="6663" max="6663" width="11" style="72" customWidth="1"/>
    <col min="6664" max="6912" width="9.140625" style="72"/>
    <col min="6913" max="6913" width="36.28515625" style="72" customWidth="1"/>
    <col min="6914" max="6914" width="15.28515625" style="72" bestFit="1" customWidth="1"/>
    <col min="6915" max="6915" width="14.5703125" style="72" customWidth="1"/>
    <col min="6916" max="6916" width="15.42578125" style="72" customWidth="1"/>
    <col min="6917" max="6917" width="18.42578125" style="72" bestFit="1" customWidth="1"/>
    <col min="6918" max="6918" width="9" style="72" bestFit="1" customWidth="1"/>
    <col min="6919" max="6919" width="11" style="72" customWidth="1"/>
    <col min="6920" max="7168" width="9.140625" style="72"/>
    <col min="7169" max="7169" width="36.28515625" style="72" customWidth="1"/>
    <col min="7170" max="7170" width="15.28515625" style="72" bestFit="1" customWidth="1"/>
    <col min="7171" max="7171" width="14.5703125" style="72" customWidth="1"/>
    <col min="7172" max="7172" width="15.42578125" style="72" customWidth="1"/>
    <col min="7173" max="7173" width="18.42578125" style="72" bestFit="1" customWidth="1"/>
    <col min="7174" max="7174" width="9" style="72" bestFit="1" customWidth="1"/>
    <col min="7175" max="7175" width="11" style="72" customWidth="1"/>
    <col min="7176" max="7424" width="9.140625" style="72"/>
    <col min="7425" max="7425" width="36.28515625" style="72" customWidth="1"/>
    <col min="7426" max="7426" width="15.28515625" style="72" bestFit="1" customWidth="1"/>
    <col min="7427" max="7427" width="14.5703125" style="72" customWidth="1"/>
    <col min="7428" max="7428" width="15.42578125" style="72" customWidth="1"/>
    <col min="7429" max="7429" width="18.42578125" style="72" bestFit="1" customWidth="1"/>
    <col min="7430" max="7430" width="9" style="72" bestFit="1" customWidth="1"/>
    <col min="7431" max="7431" width="11" style="72" customWidth="1"/>
    <col min="7432" max="7680" width="9.140625" style="72"/>
    <col min="7681" max="7681" width="36.28515625" style="72" customWidth="1"/>
    <col min="7682" max="7682" width="15.28515625" style="72" bestFit="1" customWidth="1"/>
    <col min="7683" max="7683" width="14.5703125" style="72" customWidth="1"/>
    <col min="7684" max="7684" width="15.42578125" style="72" customWidth="1"/>
    <col min="7685" max="7685" width="18.42578125" style="72" bestFit="1" customWidth="1"/>
    <col min="7686" max="7686" width="9" style="72" bestFit="1" customWidth="1"/>
    <col min="7687" max="7687" width="11" style="72" customWidth="1"/>
    <col min="7688" max="7936" width="9.140625" style="72"/>
    <col min="7937" max="7937" width="36.28515625" style="72" customWidth="1"/>
    <col min="7938" max="7938" width="15.28515625" style="72" bestFit="1" customWidth="1"/>
    <col min="7939" max="7939" width="14.5703125" style="72" customWidth="1"/>
    <col min="7940" max="7940" width="15.42578125" style="72" customWidth="1"/>
    <col min="7941" max="7941" width="18.42578125" style="72" bestFit="1" customWidth="1"/>
    <col min="7942" max="7942" width="9" style="72" bestFit="1" customWidth="1"/>
    <col min="7943" max="7943" width="11" style="72" customWidth="1"/>
    <col min="7944" max="8192" width="9.140625" style="72"/>
    <col min="8193" max="8193" width="36.28515625" style="72" customWidth="1"/>
    <col min="8194" max="8194" width="15.28515625" style="72" bestFit="1" customWidth="1"/>
    <col min="8195" max="8195" width="14.5703125" style="72" customWidth="1"/>
    <col min="8196" max="8196" width="15.42578125" style="72" customWidth="1"/>
    <col min="8197" max="8197" width="18.42578125" style="72" bestFit="1" customWidth="1"/>
    <col min="8198" max="8198" width="9" style="72" bestFit="1" customWidth="1"/>
    <col min="8199" max="8199" width="11" style="72" customWidth="1"/>
    <col min="8200" max="8448" width="9.140625" style="72"/>
    <col min="8449" max="8449" width="36.28515625" style="72" customWidth="1"/>
    <col min="8450" max="8450" width="15.28515625" style="72" bestFit="1" customWidth="1"/>
    <col min="8451" max="8451" width="14.5703125" style="72" customWidth="1"/>
    <col min="8452" max="8452" width="15.42578125" style="72" customWidth="1"/>
    <col min="8453" max="8453" width="18.42578125" style="72" bestFit="1" customWidth="1"/>
    <col min="8454" max="8454" width="9" style="72" bestFit="1" customWidth="1"/>
    <col min="8455" max="8455" width="11" style="72" customWidth="1"/>
    <col min="8456" max="8704" width="9.140625" style="72"/>
    <col min="8705" max="8705" width="36.28515625" style="72" customWidth="1"/>
    <col min="8706" max="8706" width="15.28515625" style="72" bestFit="1" customWidth="1"/>
    <col min="8707" max="8707" width="14.5703125" style="72" customWidth="1"/>
    <col min="8708" max="8708" width="15.42578125" style="72" customWidth="1"/>
    <col min="8709" max="8709" width="18.42578125" style="72" bestFit="1" customWidth="1"/>
    <col min="8710" max="8710" width="9" style="72" bestFit="1" customWidth="1"/>
    <col min="8711" max="8711" width="11" style="72" customWidth="1"/>
    <col min="8712" max="8960" width="9.140625" style="72"/>
    <col min="8961" max="8961" width="36.28515625" style="72" customWidth="1"/>
    <col min="8962" max="8962" width="15.28515625" style="72" bestFit="1" customWidth="1"/>
    <col min="8963" max="8963" width="14.5703125" style="72" customWidth="1"/>
    <col min="8964" max="8964" width="15.42578125" style="72" customWidth="1"/>
    <col min="8965" max="8965" width="18.42578125" style="72" bestFit="1" customWidth="1"/>
    <col min="8966" max="8966" width="9" style="72" bestFit="1" customWidth="1"/>
    <col min="8967" max="8967" width="11" style="72" customWidth="1"/>
    <col min="8968" max="9216" width="9.140625" style="72"/>
    <col min="9217" max="9217" width="36.28515625" style="72" customWidth="1"/>
    <col min="9218" max="9218" width="15.28515625" style="72" bestFit="1" customWidth="1"/>
    <col min="9219" max="9219" width="14.5703125" style="72" customWidth="1"/>
    <col min="9220" max="9220" width="15.42578125" style="72" customWidth="1"/>
    <col min="9221" max="9221" width="18.42578125" style="72" bestFit="1" customWidth="1"/>
    <col min="9222" max="9222" width="9" style="72" bestFit="1" customWidth="1"/>
    <col min="9223" max="9223" width="11" style="72" customWidth="1"/>
    <col min="9224" max="9472" width="9.140625" style="72"/>
    <col min="9473" max="9473" width="36.28515625" style="72" customWidth="1"/>
    <col min="9474" max="9474" width="15.28515625" style="72" bestFit="1" customWidth="1"/>
    <col min="9475" max="9475" width="14.5703125" style="72" customWidth="1"/>
    <col min="9476" max="9476" width="15.42578125" style="72" customWidth="1"/>
    <col min="9477" max="9477" width="18.42578125" style="72" bestFit="1" customWidth="1"/>
    <col min="9478" max="9478" width="9" style="72" bestFit="1" customWidth="1"/>
    <col min="9479" max="9479" width="11" style="72" customWidth="1"/>
    <col min="9480" max="9728" width="9.140625" style="72"/>
    <col min="9729" max="9729" width="36.28515625" style="72" customWidth="1"/>
    <col min="9730" max="9730" width="15.28515625" style="72" bestFit="1" customWidth="1"/>
    <col min="9731" max="9731" width="14.5703125" style="72" customWidth="1"/>
    <col min="9732" max="9732" width="15.42578125" style="72" customWidth="1"/>
    <col min="9733" max="9733" width="18.42578125" style="72" bestFit="1" customWidth="1"/>
    <col min="9734" max="9734" width="9" style="72" bestFit="1" customWidth="1"/>
    <col min="9735" max="9735" width="11" style="72" customWidth="1"/>
    <col min="9736" max="9984" width="9.140625" style="72"/>
    <col min="9985" max="9985" width="36.28515625" style="72" customWidth="1"/>
    <col min="9986" max="9986" width="15.28515625" style="72" bestFit="1" customWidth="1"/>
    <col min="9987" max="9987" width="14.5703125" style="72" customWidth="1"/>
    <col min="9988" max="9988" width="15.42578125" style="72" customWidth="1"/>
    <col min="9989" max="9989" width="18.42578125" style="72" bestFit="1" customWidth="1"/>
    <col min="9990" max="9990" width="9" style="72" bestFit="1" customWidth="1"/>
    <col min="9991" max="9991" width="11" style="72" customWidth="1"/>
    <col min="9992" max="10240" width="9.140625" style="72"/>
    <col min="10241" max="10241" width="36.28515625" style="72" customWidth="1"/>
    <col min="10242" max="10242" width="15.28515625" style="72" bestFit="1" customWidth="1"/>
    <col min="10243" max="10243" width="14.5703125" style="72" customWidth="1"/>
    <col min="10244" max="10244" width="15.42578125" style="72" customWidth="1"/>
    <col min="10245" max="10245" width="18.42578125" style="72" bestFit="1" customWidth="1"/>
    <col min="10246" max="10246" width="9" style="72" bestFit="1" customWidth="1"/>
    <col min="10247" max="10247" width="11" style="72" customWidth="1"/>
    <col min="10248" max="10496" width="9.140625" style="72"/>
    <col min="10497" max="10497" width="36.28515625" style="72" customWidth="1"/>
    <col min="10498" max="10498" width="15.28515625" style="72" bestFit="1" customWidth="1"/>
    <col min="10499" max="10499" width="14.5703125" style="72" customWidth="1"/>
    <col min="10500" max="10500" width="15.42578125" style="72" customWidth="1"/>
    <col min="10501" max="10501" width="18.42578125" style="72" bestFit="1" customWidth="1"/>
    <col min="10502" max="10502" width="9" style="72" bestFit="1" customWidth="1"/>
    <col min="10503" max="10503" width="11" style="72" customWidth="1"/>
    <col min="10504" max="10752" width="9.140625" style="72"/>
    <col min="10753" max="10753" width="36.28515625" style="72" customWidth="1"/>
    <col min="10754" max="10754" width="15.28515625" style="72" bestFit="1" customWidth="1"/>
    <col min="10755" max="10755" width="14.5703125" style="72" customWidth="1"/>
    <col min="10756" max="10756" width="15.42578125" style="72" customWidth="1"/>
    <col min="10757" max="10757" width="18.42578125" style="72" bestFit="1" customWidth="1"/>
    <col min="10758" max="10758" width="9" style="72" bestFit="1" customWidth="1"/>
    <col min="10759" max="10759" width="11" style="72" customWidth="1"/>
    <col min="10760" max="11008" width="9.140625" style="72"/>
    <col min="11009" max="11009" width="36.28515625" style="72" customWidth="1"/>
    <col min="11010" max="11010" width="15.28515625" style="72" bestFit="1" customWidth="1"/>
    <col min="11011" max="11011" width="14.5703125" style="72" customWidth="1"/>
    <col min="11012" max="11012" width="15.42578125" style="72" customWidth="1"/>
    <col min="11013" max="11013" width="18.42578125" style="72" bestFit="1" customWidth="1"/>
    <col min="11014" max="11014" width="9" style="72" bestFit="1" customWidth="1"/>
    <col min="11015" max="11015" width="11" style="72" customWidth="1"/>
    <col min="11016" max="11264" width="9.140625" style="72"/>
    <col min="11265" max="11265" width="36.28515625" style="72" customWidth="1"/>
    <col min="11266" max="11266" width="15.28515625" style="72" bestFit="1" customWidth="1"/>
    <col min="11267" max="11267" width="14.5703125" style="72" customWidth="1"/>
    <col min="11268" max="11268" width="15.42578125" style="72" customWidth="1"/>
    <col min="11269" max="11269" width="18.42578125" style="72" bestFit="1" customWidth="1"/>
    <col min="11270" max="11270" width="9" style="72" bestFit="1" customWidth="1"/>
    <col min="11271" max="11271" width="11" style="72" customWidth="1"/>
    <col min="11272" max="11520" width="9.140625" style="72"/>
    <col min="11521" max="11521" width="36.28515625" style="72" customWidth="1"/>
    <col min="11522" max="11522" width="15.28515625" style="72" bestFit="1" customWidth="1"/>
    <col min="11523" max="11523" width="14.5703125" style="72" customWidth="1"/>
    <col min="11524" max="11524" width="15.42578125" style="72" customWidth="1"/>
    <col min="11525" max="11525" width="18.42578125" style="72" bestFit="1" customWidth="1"/>
    <col min="11526" max="11526" width="9" style="72" bestFit="1" customWidth="1"/>
    <col min="11527" max="11527" width="11" style="72" customWidth="1"/>
    <col min="11528" max="11776" width="9.140625" style="72"/>
    <col min="11777" max="11777" width="36.28515625" style="72" customWidth="1"/>
    <col min="11778" max="11778" width="15.28515625" style="72" bestFit="1" customWidth="1"/>
    <col min="11779" max="11779" width="14.5703125" style="72" customWidth="1"/>
    <col min="11780" max="11780" width="15.42578125" style="72" customWidth="1"/>
    <col min="11781" max="11781" width="18.42578125" style="72" bestFit="1" customWidth="1"/>
    <col min="11782" max="11782" width="9" style="72" bestFit="1" customWidth="1"/>
    <col min="11783" max="11783" width="11" style="72" customWidth="1"/>
    <col min="11784" max="12032" width="9.140625" style="72"/>
    <col min="12033" max="12033" width="36.28515625" style="72" customWidth="1"/>
    <col min="12034" max="12034" width="15.28515625" style="72" bestFit="1" customWidth="1"/>
    <col min="12035" max="12035" width="14.5703125" style="72" customWidth="1"/>
    <col min="12036" max="12036" width="15.42578125" style="72" customWidth="1"/>
    <col min="12037" max="12037" width="18.42578125" style="72" bestFit="1" customWidth="1"/>
    <col min="12038" max="12038" width="9" style="72" bestFit="1" customWidth="1"/>
    <col min="12039" max="12039" width="11" style="72" customWidth="1"/>
    <col min="12040" max="12288" width="9.140625" style="72"/>
    <col min="12289" max="12289" width="36.28515625" style="72" customWidth="1"/>
    <col min="12290" max="12290" width="15.28515625" style="72" bestFit="1" customWidth="1"/>
    <col min="12291" max="12291" width="14.5703125" style="72" customWidth="1"/>
    <col min="12292" max="12292" width="15.42578125" style="72" customWidth="1"/>
    <col min="12293" max="12293" width="18.42578125" style="72" bestFit="1" customWidth="1"/>
    <col min="12294" max="12294" width="9" style="72" bestFit="1" customWidth="1"/>
    <col min="12295" max="12295" width="11" style="72" customWidth="1"/>
    <col min="12296" max="12544" width="9.140625" style="72"/>
    <col min="12545" max="12545" width="36.28515625" style="72" customWidth="1"/>
    <col min="12546" max="12546" width="15.28515625" style="72" bestFit="1" customWidth="1"/>
    <col min="12547" max="12547" width="14.5703125" style="72" customWidth="1"/>
    <col min="12548" max="12548" width="15.42578125" style="72" customWidth="1"/>
    <col min="12549" max="12549" width="18.42578125" style="72" bestFit="1" customWidth="1"/>
    <col min="12550" max="12550" width="9" style="72" bestFit="1" customWidth="1"/>
    <col min="12551" max="12551" width="11" style="72" customWidth="1"/>
    <col min="12552" max="12800" width="9.140625" style="72"/>
    <col min="12801" max="12801" width="36.28515625" style="72" customWidth="1"/>
    <col min="12802" max="12802" width="15.28515625" style="72" bestFit="1" customWidth="1"/>
    <col min="12803" max="12803" width="14.5703125" style="72" customWidth="1"/>
    <col min="12804" max="12804" width="15.42578125" style="72" customWidth="1"/>
    <col min="12805" max="12805" width="18.42578125" style="72" bestFit="1" customWidth="1"/>
    <col min="12806" max="12806" width="9" style="72" bestFit="1" customWidth="1"/>
    <col min="12807" max="12807" width="11" style="72" customWidth="1"/>
    <col min="12808" max="13056" width="9.140625" style="72"/>
    <col min="13057" max="13057" width="36.28515625" style="72" customWidth="1"/>
    <col min="13058" max="13058" width="15.28515625" style="72" bestFit="1" customWidth="1"/>
    <col min="13059" max="13059" width="14.5703125" style="72" customWidth="1"/>
    <col min="13060" max="13060" width="15.42578125" style="72" customWidth="1"/>
    <col min="13061" max="13061" width="18.42578125" style="72" bestFit="1" customWidth="1"/>
    <col min="13062" max="13062" width="9" style="72" bestFit="1" customWidth="1"/>
    <col min="13063" max="13063" width="11" style="72" customWidth="1"/>
    <col min="13064" max="13312" width="9.140625" style="72"/>
    <col min="13313" max="13313" width="36.28515625" style="72" customWidth="1"/>
    <col min="13314" max="13314" width="15.28515625" style="72" bestFit="1" customWidth="1"/>
    <col min="13315" max="13315" width="14.5703125" style="72" customWidth="1"/>
    <col min="13316" max="13316" width="15.42578125" style="72" customWidth="1"/>
    <col min="13317" max="13317" width="18.42578125" style="72" bestFit="1" customWidth="1"/>
    <col min="13318" max="13318" width="9" style="72" bestFit="1" customWidth="1"/>
    <col min="13319" max="13319" width="11" style="72" customWidth="1"/>
    <col min="13320" max="13568" width="9.140625" style="72"/>
    <col min="13569" max="13569" width="36.28515625" style="72" customWidth="1"/>
    <col min="13570" max="13570" width="15.28515625" style="72" bestFit="1" customWidth="1"/>
    <col min="13571" max="13571" width="14.5703125" style="72" customWidth="1"/>
    <col min="13572" max="13572" width="15.42578125" style="72" customWidth="1"/>
    <col min="13573" max="13573" width="18.42578125" style="72" bestFit="1" customWidth="1"/>
    <col min="13574" max="13574" width="9" style="72" bestFit="1" customWidth="1"/>
    <col min="13575" max="13575" width="11" style="72" customWidth="1"/>
    <col min="13576" max="13824" width="9.140625" style="72"/>
    <col min="13825" max="13825" width="36.28515625" style="72" customWidth="1"/>
    <col min="13826" max="13826" width="15.28515625" style="72" bestFit="1" customWidth="1"/>
    <col min="13827" max="13827" width="14.5703125" style="72" customWidth="1"/>
    <col min="13828" max="13828" width="15.42578125" style="72" customWidth="1"/>
    <col min="13829" max="13829" width="18.42578125" style="72" bestFit="1" customWidth="1"/>
    <col min="13830" max="13830" width="9" style="72" bestFit="1" customWidth="1"/>
    <col min="13831" max="13831" width="11" style="72" customWidth="1"/>
    <col min="13832" max="14080" width="9.140625" style="72"/>
    <col min="14081" max="14081" width="36.28515625" style="72" customWidth="1"/>
    <col min="14082" max="14082" width="15.28515625" style="72" bestFit="1" customWidth="1"/>
    <col min="14083" max="14083" width="14.5703125" style="72" customWidth="1"/>
    <col min="14084" max="14084" width="15.42578125" style="72" customWidth="1"/>
    <col min="14085" max="14085" width="18.42578125" style="72" bestFit="1" customWidth="1"/>
    <col min="14086" max="14086" width="9" style="72" bestFit="1" customWidth="1"/>
    <col min="14087" max="14087" width="11" style="72" customWidth="1"/>
    <col min="14088" max="14336" width="9.140625" style="72"/>
    <col min="14337" max="14337" width="36.28515625" style="72" customWidth="1"/>
    <col min="14338" max="14338" width="15.28515625" style="72" bestFit="1" customWidth="1"/>
    <col min="14339" max="14339" width="14.5703125" style="72" customWidth="1"/>
    <col min="14340" max="14340" width="15.42578125" style="72" customWidth="1"/>
    <col min="14341" max="14341" width="18.42578125" style="72" bestFit="1" customWidth="1"/>
    <col min="14342" max="14342" width="9" style="72" bestFit="1" customWidth="1"/>
    <col min="14343" max="14343" width="11" style="72" customWidth="1"/>
    <col min="14344" max="14592" width="9.140625" style="72"/>
    <col min="14593" max="14593" width="36.28515625" style="72" customWidth="1"/>
    <col min="14594" max="14594" width="15.28515625" style="72" bestFit="1" customWidth="1"/>
    <col min="14595" max="14595" width="14.5703125" style="72" customWidth="1"/>
    <col min="14596" max="14596" width="15.42578125" style="72" customWidth="1"/>
    <col min="14597" max="14597" width="18.42578125" style="72" bestFit="1" customWidth="1"/>
    <col min="14598" max="14598" width="9" style="72" bestFit="1" customWidth="1"/>
    <col min="14599" max="14599" width="11" style="72" customWidth="1"/>
    <col min="14600" max="14848" width="9.140625" style="72"/>
    <col min="14849" max="14849" width="36.28515625" style="72" customWidth="1"/>
    <col min="14850" max="14850" width="15.28515625" style="72" bestFit="1" customWidth="1"/>
    <col min="14851" max="14851" width="14.5703125" style="72" customWidth="1"/>
    <col min="14852" max="14852" width="15.42578125" style="72" customWidth="1"/>
    <col min="14853" max="14853" width="18.42578125" style="72" bestFit="1" customWidth="1"/>
    <col min="14854" max="14854" width="9" style="72" bestFit="1" customWidth="1"/>
    <col min="14855" max="14855" width="11" style="72" customWidth="1"/>
    <col min="14856" max="15104" width="9.140625" style="72"/>
    <col min="15105" max="15105" width="36.28515625" style="72" customWidth="1"/>
    <col min="15106" max="15106" width="15.28515625" style="72" bestFit="1" customWidth="1"/>
    <col min="15107" max="15107" width="14.5703125" style="72" customWidth="1"/>
    <col min="15108" max="15108" width="15.42578125" style="72" customWidth="1"/>
    <col min="15109" max="15109" width="18.42578125" style="72" bestFit="1" customWidth="1"/>
    <col min="15110" max="15110" width="9" style="72" bestFit="1" customWidth="1"/>
    <col min="15111" max="15111" width="11" style="72" customWidth="1"/>
    <col min="15112" max="15360" width="9.140625" style="72"/>
    <col min="15361" max="15361" width="36.28515625" style="72" customWidth="1"/>
    <col min="15362" max="15362" width="15.28515625" style="72" bestFit="1" customWidth="1"/>
    <col min="15363" max="15363" width="14.5703125" style="72" customWidth="1"/>
    <col min="15364" max="15364" width="15.42578125" style="72" customWidth="1"/>
    <col min="15365" max="15365" width="18.42578125" style="72" bestFit="1" customWidth="1"/>
    <col min="15366" max="15366" width="9" style="72" bestFit="1" customWidth="1"/>
    <col min="15367" max="15367" width="11" style="72" customWidth="1"/>
    <col min="15368" max="15616" width="9.140625" style="72"/>
    <col min="15617" max="15617" width="36.28515625" style="72" customWidth="1"/>
    <col min="15618" max="15618" width="15.28515625" style="72" bestFit="1" customWidth="1"/>
    <col min="15619" max="15619" width="14.5703125" style="72" customWidth="1"/>
    <col min="15620" max="15620" width="15.42578125" style="72" customWidth="1"/>
    <col min="15621" max="15621" width="18.42578125" style="72" bestFit="1" customWidth="1"/>
    <col min="15622" max="15622" width="9" style="72" bestFit="1" customWidth="1"/>
    <col min="15623" max="15623" width="11" style="72" customWidth="1"/>
    <col min="15624" max="15872" width="9.140625" style="72"/>
    <col min="15873" max="15873" width="36.28515625" style="72" customWidth="1"/>
    <col min="15874" max="15874" width="15.28515625" style="72" bestFit="1" customWidth="1"/>
    <col min="15875" max="15875" width="14.5703125" style="72" customWidth="1"/>
    <col min="15876" max="15876" width="15.42578125" style="72" customWidth="1"/>
    <col min="15877" max="15877" width="18.42578125" style="72" bestFit="1" customWidth="1"/>
    <col min="15878" max="15878" width="9" style="72" bestFit="1" customWidth="1"/>
    <col min="15879" max="15879" width="11" style="72" customWidth="1"/>
    <col min="15880" max="16128" width="9.140625" style="72"/>
    <col min="16129" max="16129" width="36.28515625" style="72" customWidth="1"/>
    <col min="16130" max="16130" width="15.28515625" style="72" bestFit="1" customWidth="1"/>
    <col min="16131" max="16131" width="14.5703125" style="72" customWidth="1"/>
    <col min="16132" max="16132" width="15.42578125" style="72" customWidth="1"/>
    <col min="16133" max="16133" width="18.42578125" style="72" bestFit="1" customWidth="1"/>
    <col min="16134" max="16134" width="9" style="72" bestFit="1" customWidth="1"/>
    <col min="16135" max="16135" width="11" style="72" customWidth="1"/>
    <col min="16136" max="16384" width="9.140625" style="72"/>
  </cols>
  <sheetData>
    <row r="1" spans="1:11" s="63" customFormat="1" ht="56.25" customHeight="1" x14ac:dyDescent="0.25">
      <c r="A1" s="438"/>
      <c r="B1" s="438"/>
      <c r="C1" s="438"/>
      <c r="D1" s="438"/>
      <c r="E1" s="438"/>
    </row>
    <row r="2" spans="1:11" s="63" customFormat="1" ht="15.75" x14ac:dyDescent="0.25">
      <c r="A2" s="64"/>
      <c r="B2" s="64"/>
      <c r="C2" s="64"/>
      <c r="D2" s="64"/>
      <c r="E2" s="64"/>
    </row>
    <row r="3" spans="1:11" s="65" customFormat="1" ht="15.75" x14ac:dyDescent="0.25">
      <c r="A3" s="439" t="s">
        <v>734</v>
      </c>
      <c r="B3" s="439"/>
      <c r="C3" s="439"/>
      <c r="D3" s="439"/>
      <c r="E3" s="439"/>
    </row>
    <row r="4" spans="1:11" s="65" customFormat="1" ht="9" customHeight="1" x14ac:dyDescent="0.25">
      <c r="A4" s="66"/>
      <c r="B4" s="66"/>
      <c r="C4" s="66"/>
      <c r="D4" s="66"/>
      <c r="E4" s="66"/>
    </row>
    <row r="5" spans="1:11" s="69" customFormat="1" ht="15.75" customHeight="1" x14ac:dyDescent="0.25">
      <c r="A5" s="67" t="s">
        <v>735</v>
      </c>
      <c r="B5" s="440"/>
      <c r="C5" s="440"/>
      <c r="D5" s="440"/>
      <c r="E5" s="440"/>
      <c r="F5" s="68"/>
      <c r="G5" s="68"/>
      <c r="H5" s="68"/>
      <c r="I5" s="68"/>
      <c r="J5" s="68"/>
      <c r="K5" s="68"/>
    </row>
    <row r="6" spans="1:11" s="69" customFormat="1" ht="15.75" customHeight="1" x14ac:dyDescent="0.25">
      <c r="A6" s="67" t="s">
        <v>736</v>
      </c>
      <c r="B6" s="440"/>
      <c r="C6" s="440"/>
      <c r="D6" s="440"/>
      <c r="E6" s="440"/>
      <c r="F6" s="68"/>
      <c r="G6" s="68"/>
      <c r="H6" s="68"/>
      <c r="I6" s="68"/>
      <c r="J6" s="68"/>
      <c r="K6" s="68"/>
    </row>
    <row r="7" spans="1:11" s="69" customFormat="1" ht="76.5" customHeight="1" x14ac:dyDescent="0.25">
      <c r="A7" s="67" t="s">
        <v>737</v>
      </c>
      <c r="B7" s="440" t="s">
        <v>738</v>
      </c>
      <c r="C7" s="440"/>
      <c r="D7" s="440"/>
      <c r="E7" s="440"/>
      <c r="F7" s="68"/>
      <c r="G7" s="68"/>
      <c r="H7" s="68"/>
      <c r="I7" s="68"/>
      <c r="J7" s="68"/>
      <c r="K7" s="68"/>
    </row>
    <row r="8" spans="1:11" s="69" customFormat="1" ht="33" customHeight="1" x14ac:dyDescent="0.25">
      <c r="A8" s="67" t="s">
        <v>739</v>
      </c>
      <c r="B8" s="440" t="s">
        <v>791</v>
      </c>
      <c r="C8" s="440"/>
      <c r="D8" s="440"/>
      <c r="E8" s="440"/>
      <c r="F8" s="68" t="str">
        <f>IF(B8&lt;&gt;"","OK","PREENCHER")</f>
        <v>OK</v>
      </c>
      <c r="G8" s="68"/>
      <c r="H8" s="68"/>
      <c r="I8" s="68"/>
      <c r="J8" s="68"/>
      <c r="K8" s="68"/>
    </row>
    <row r="9" spans="1:11" s="69" customFormat="1" ht="33" customHeight="1" x14ac:dyDescent="0.25">
      <c r="A9" s="67" t="s">
        <v>741</v>
      </c>
      <c r="B9" s="441">
        <v>1</v>
      </c>
      <c r="C9" s="441"/>
      <c r="D9" s="441"/>
      <c r="E9" s="441"/>
      <c r="F9" s="68" t="str">
        <f>IF(B9&lt;&gt;"","OK","PREENCHER")</f>
        <v>OK</v>
      </c>
      <c r="G9" s="70"/>
      <c r="H9" s="68"/>
      <c r="I9" s="68"/>
      <c r="J9" s="68"/>
      <c r="K9" s="68"/>
    </row>
    <row r="10" spans="1:11" s="69" customFormat="1" ht="19.5" customHeight="1" x14ac:dyDescent="0.25">
      <c r="A10" s="67" t="s">
        <v>742</v>
      </c>
      <c r="B10" s="440" t="s">
        <v>743</v>
      </c>
      <c r="C10" s="440"/>
      <c r="D10" s="440"/>
      <c r="E10" s="440"/>
      <c r="F10" s="68" t="str">
        <f>IF(B10&lt;&gt;"","OK","PREENCHER")</f>
        <v>OK</v>
      </c>
      <c r="G10" s="68"/>
      <c r="H10" s="68"/>
      <c r="I10" s="68"/>
      <c r="J10" s="68"/>
      <c r="K10" s="68"/>
    </row>
    <row r="11" spans="1:11" s="69" customFormat="1" ht="9" thickBot="1" x14ac:dyDescent="0.3">
      <c r="F11" s="68"/>
      <c r="G11" s="68"/>
      <c r="H11" s="68"/>
      <c r="I11" s="68"/>
      <c r="J11" s="68"/>
      <c r="K11" s="68"/>
    </row>
    <row r="12" spans="1:11" ht="19.5" customHeight="1" x14ac:dyDescent="0.25">
      <c r="A12" s="442" t="s">
        <v>744</v>
      </c>
      <c r="B12" s="444" t="s">
        <v>745</v>
      </c>
      <c r="C12" s="445"/>
      <c r="D12" s="446"/>
      <c r="E12" s="447" t="s">
        <v>746</v>
      </c>
      <c r="F12" s="71"/>
      <c r="G12" s="71"/>
      <c r="H12" s="71"/>
      <c r="I12" s="71"/>
      <c r="J12" s="71"/>
      <c r="K12" s="71"/>
    </row>
    <row r="13" spans="1:11" ht="36" customHeight="1" thickBot="1" x14ac:dyDescent="0.3">
      <c r="A13" s="443"/>
      <c r="B13" s="73" t="s">
        <v>747</v>
      </c>
      <c r="C13" s="73" t="s">
        <v>748</v>
      </c>
      <c r="D13" s="74" t="s">
        <v>749</v>
      </c>
      <c r="E13" s="448"/>
      <c r="F13" s="71"/>
      <c r="G13" s="75"/>
      <c r="H13" s="75"/>
      <c r="I13" s="75"/>
      <c r="J13" s="71"/>
      <c r="K13" s="71"/>
    </row>
    <row r="14" spans="1:11" ht="15.75" x14ac:dyDescent="0.25">
      <c r="A14" s="76" t="s">
        <v>750</v>
      </c>
      <c r="B14" s="77">
        <f>IF(ISERROR(VLOOKUP($B$8,'[1]Base dados - TCU 2622_2013'!$A$7:$V$14,2,)),"",VLOOKUP($B$8,'[1]Base dados - TCU 2622_2013'!$A$7:$V$14,2,))</f>
        <v>3</v>
      </c>
      <c r="C14" s="77">
        <f>IF(ISERROR(VLOOKUP($B$8,'[1]Base dados - TCU 2622_2013'!$A$7:$V$14,3,)),"",VLOOKUP($B$8,'[1]Base dados - TCU 2622_2013'!$A$7:$V$14,3,))</f>
        <v>4</v>
      </c>
      <c r="D14" s="77">
        <f>IF(ISERROR(VLOOKUP($B$8,'[1]Base dados - TCU 2622_2013'!$A$7:$V$14,4,)),"",VLOOKUP($B$8,'[1]Base dados - TCU 2622_2013'!$A$7:$V$14,4,))</f>
        <v>5.5</v>
      </c>
      <c r="E14" s="78">
        <v>3</v>
      </c>
      <c r="F14" s="68" t="str">
        <f>IF(AND(E14&gt;=B14,E14&lt;=D14),"OK","PREENCHER")</f>
        <v>OK</v>
      </c>
      <c r="G14" s="79"/>
      <c r="H14" s="75"/>
      <c r="I14" s="75"/>
      <c r="J14" s="71"/>
      <c r="K14" s="71"/>
    </row>
    <row r="15" spans="1:11" ht="15.75" x14ac:dyDescent="0.25">
      <c r="A15" s="80" t="s">
        <v>751</v>
      </c>
      <c r="B15" s="77">
        <f>IF(ISERROR(VLOOKUP($B$8,'[1]Base dados - TCU 2622_2013'!$A$7:$V$14,5,)),"",VLOOKUP($B$8,'[1]Base dados - TCU 2622_2013'!$A$7:$V$14,5,))</f>
        <v>0.8</v>
      </c>
      <c r="C15" s="77">
        <f>IF(ISERROR(VLOOKUP($B$8,'[1]Base dados - TCU 2622_2013'!$A$7:$V$14,6,)),"",VLOOKUP($B$8,'[1]Base dados - TCU 2622_2013'!$A$7:$V$14,6,))</f>
        <v>0.8</v>
      </c>
      <c r="D15" s="77">
        <f>IF(ISERROR(VLOOKUP($B$8,'[1]Base dados - TCU 2622_2013'!$A$7:$V$14,7,)),"",VLOOKUP($B$8,'[1]Base dados - TCU 2622_2013'!$A$7:$V$14,7,))</f>
        <v>1</v>
      </c>
      <c r="E15" s="81">
        <v>0.8</v>
      </c>
      <c r="F15" s="68" t="str">
        <f t="shared" ref="F15:F22" si="0">IF(AND(E15&gt;=B15,E15&lt;=D15),"OK","PREENCHER")</f>
        <v>OK</v>
      </c>
      <c r="G15" s="82"/>
      <c r="H15" s="75"/>
      <c r="I15" s="75"/>
      <c r="J15" s="71"/>
      <c r="K15" s="71"/>
    </row>
    <row r="16" spans="1:11" ht="15.75" x14ac:dyDescent="0.25">
      <c r="A16" s="80" t="s">
        <v>752</v>
      </c>
      <c r="B16" s="77">
        <f>IF(ISERROR(VLOOKUP($B$8,'[1]Base dados - TCU 2622_2013'!$A$7:$V$14,8,)),"",VLOOKUP($B$8,'[1]Base dados - TCU 2622_2013'!$A$7:$V$14,8,))</f>
        <v>0.97</v>
      </c>
      <c r="C16" s="77">
        <f>IF(ISERROR(VLOOKUP($B$8,'[1]Base dados - TCU 2622_2013'!$A$7:$V$14,6,)),"",VLOOKUP($B$8,'[1]Base dados - TCU 2622_2013'!$A$7:$V$14,9,))</f>
        <v>1.27</v>
      </c>
      <c r="D16" s="77">
        <f>IF(ISERROR(VLOOKUP($B$8,'[1]Base dados - TCU 2622_2013'!$A$7:$V$14,7,)),"",VLOOKUP($B$8,'[1]Base dados - TCU 2622_2013'!$A$7:$V$14,10,))</f>
        <v>1.27</v>
      </c>
      <c r="E16" s="81">
        <v>0.97</v>
      </c>
      <c r="F16" s="68" t="str">
        <f t="shared" si="0"/>
        <v>OK</v>
      </c>
      <c r="G16" s="82"/>
      <c r="H16" s="75"/>
      <c r="I16" s="75"/>
      <c r="J16" s="71"/>
      <c r="K16" s="71"/>
    </row>
    <row r="17" spans="1:13" ht="15.75" x14ac:dyDescent="0.25">
      <c r="A17" s="76" t="s">
        <v>753</v>
      </c>
      <c r="B17" s="77">
        <f>IF(ISERROR(VLOOKUP($B$8,'[1]Base dados - TCU 2622_2013'!$A$7:$V$14,11,)),"",VLOOKUP($B$8,'[1]Base dados - TCU 2622_2013'!$A$7:$V$14,11,))</f>
        <v>0.59</v>
      </c>
      <c r="C17" s="77">
        <f>IF(ISERROR(VLOOKUP($B$8,'[1]Base dados - TCU 2622_2013'!$A$7:$V$14,12,)),"",VLOOKUP($B$8,'[1]Base dados - TCU 2622_2013'!$A$7:$V$14,12,))</f>
        <v>1.23</v>
      </c>
      <c r="D17" s="77">
        <f>IF(ISERROR(VLOOKUP($B$8,'[1]Base dados - TCU 2622_2013'!$A$7:$V$14,13,)),"",VLOOKUP($B$8,'[1]Base dados - TCU 2622_2013'!$A$7:$V$14,13,))</f>
        <v>1.39</v>
      </c>
      <c r="E17" s="81">
        <v>0.59</v>
      </c>
      <c r="F17" s="68" t="str">
        <f t="shared" si="0"/>
        <v>OK</v>
      </c>
      <c r="G17" s="82"/>
      <c r="H17" s="75"/>
      <c r="I17" s="75"/>
      <c r="J17" s="71"/>
      <c r="K17" s="71"/>
    </row>
    <row r="18" spans="1:13" ht="15.75" x14ac:dyDescent="0.25">
      <c r="A18" s="76" t="s">
        <v>754</v>
      </c>
      <c r="B18" s="77">
        <f>IF(ISERROR(VLOOKUP($B$8,'[1]Base dados - TCU 2622_2013'!$A$7:$V$14,14,)),"",VLOOKUP($B$8,'[1]Base dados - TCU 2622_2013'!$A$7:$V$14,14,))</f>
        <v>6.16</v>
      </c>
      <c r="C18" s="77">
        <f>IF(ISERROR(VLOOKUP($B$8,'[1]Base dados - TCU 2622_2013'!$A$7:$V$14,15,)),"",VLOOKUP($B$8,'[1]Base dados - TCU 2622_2013'!$A$7:$V$14,15,))</f>
        <v>7.4</v>
      </c>
      <c r="D18" s="77">
        <f>IF(ISERROR(VLOOKUP($B$8,'[1]Base dados - TCU 2622_2013'!$A$7:$V$14,16,)),"",VLOOKUP($B$8,'[1]Base dados - TCU 2622_2013'!$A$7:$V$14,16,))</f>
        <v>8.9600000000000009</v>
      </c>
      <c r="E18" s="81">
        <v>6.16</v>
      </c>
      <c r="F18" s="68" t="str">
        <f t="shared" si="0"/>
        <v>OK</v>
      </c>
      <c r="G18" s="82"/>
      <c r="H18" s="75"/>
      <c r="I18" s="75"/>
      <c r="J18" s="71"/>
      <c r="K18" s="71"/>
    </row>
    <row r="19" spans="1:13" ht="15.75" x14ac:dyDescent="0.25">
      <c r="A19" s="76" t="s">
        <v>755</v>
      </c>
      <c r="B19" s="77">
        <f>IF(ISERROR(VLOOKUP($B$8,'[1]Base dados - TCU 2622_2013'!$A$7:$V$14,17,)),"",VLOOKUP($B$8,'[1]Base dados - TCU 2622_2013'!$A$7:$V$14,17,))</f>
        <v>3</v>
      </c>
      <c r="C19" s="77">
        <f>IF(ISERROR(VLOOKUP($B$8,'[1]Base dados - TCU 2622_2013'!$A$7:$V$14,17,)),"",VLOOKUP($B$8,'[1]Base dados - TCU 2622_2013'!$A$7:$V$14,17,))</f>
        <v>3</v>
      </c>
      <c r="D19" s="77">
        <f>IF(ISERROR(VLOOKUP($B$8,'[1]Base dados - TCU 2622_2013'!$A$7:$V$14,17,)),"",VLOOKUP($B$8,'[1]Base dados - TCU 2622_2013'!$A$7:$V$14,17,))</f>
        <v>3</v>
      </c>
      <c r="E19" s="81">
        <v>3</v>
      </c>
      <c r="F19" s="68" t="str">
        <f t="shared" si="0"/>
        <v>OK</v>
      </c>
      <c r="G19" s="75"/>
      <c r="H19" s="75"/>
      <c r="I19" s="75"/>
      <c r="J19" s="71"/>
      <c r="K19" s="71"/>
    </row>
    <row r="20" spans="1:13" ht="15.75" x14ac:dyDescent="0.25">
      <c r="A20" s="76" t="s">
        <v>756</v>
      </c>
      <c r="B20" s="77">
        <f>IF(ISERROR(VLOOKUP($B$8,'[1]Base dados - TCU 2622_2013'!$A$7:$V$14,18,)),"",VLOOKUP($B$8,'[1]Base dados - TCU 2622_2013'!$A$7:$V$14,18,))</f>
        <v>0.65</v>
      </c>
      <c r="C20" s="77">
        <f>IF(ISERROR(VLOOKUP($B$8,'[1]Base dados - TCU 2622_2013'!$A$7:$V$14,18,)),"",VLOOKUP($B$8,'[1]Base dados - TCU 2622_2013'!$A$7:$V$14,18,))</f>
        <v>0.65</v>
      </c>
      <c r="D20" s="77">
        <f>IF(ISERROR(VLOOKUP($B$8,'[1]Base dados - TCU 2622_2013'!$A$7:$V$14,18,)),"",VLOOKUP($B$8,'[1]Base dados - TCU 2622_2013'!$A$7:$V$14,18,))</f>
        <v>0.65</v>
      </c>
      <c r="E20" s="81">
        <v>0.65</v>
      </c>
      <c r="F20" s="68" t="str">
        <f t="shared" si="0"/>
        <v>OK</v>
      </c>
      <c r="G20" s="75"/>
      <c r="H20" s="75"/>
      <c r="I20" s="75"/>
      <c r="J20" s="71"/>
      <c r="K20" s="71"/>
    </row>
    <row r="21" spans="1:13" ht="15.75" x14ac:dyDescent="0.25">
      <c r="A21" s="76" t="s">
        <v>757</v>
      </c>
      <c r="B21" s="77">
        <f>IF(ISERROR(VLOOKUP($B$8,'[1]Base dados - TCU 2622_2013'!$A$7:$V$14,19,)),"",VLOOKUP($B$8,'[1]Base dados - TCU 2622_2013'!$A$7:$V$14,19,))</f>
        <v>2</v>
      </c>
      <c r="C21" s="77">
        <f>IF(ISERROR(VLOOKUP($B$8,'[1]Base dados - TCU 2622_2013'!$A$7:$V$14,20,)),"",VLOOKUP($B$8,'[1]Base dados - TCU 2622_2013'!$A$7:$V$14,20,))</f>
        <v>3.5</v>
      </c>
      <c r="D21" s="77">
        <f>IF(ISERROR(VLOOKUP($B$8,'[1]Base dados - TCU 2622_2013'!$A$7:$V$14,21,)),"",VLOOKUP($B$8,'[1]Base dados - TCU 2622_2013'!$A$7:$V$14,21,))</f>
        <v>5</v>
      </c>
      <c r="E21" s="81">
        <v>5</v>
      </c>
      <c r="F21" s="68" t="str">
        <f t="shared" si="0"/>
        <v>OK</v>
      </c>
      <c r="G21" s="83"/>
      <c r="H21" s="84"/>
      <c r="I21" s="84"/>
      <c r="J21" s="84"/>
      <c r="K21" s="71"/>
    </row>
    <row r="22" spans="1:13" ht="30" customHeight="1" thickBot="1" x14ac:dyDescent="0.3">
      <c r="A22" s="76" t="str">
        <f>IF(B10="sim","CPRB - Alíquota 4,5% Receita Bruta (Desoneração)","")</f>
        <v>CPRB - Alíquota 4,5% Receita Bruta (Desoneração)</v>
      </c>
      <c r="B22" s="77">
        <f>IF($A$22="CPRB - Alíquota 4,5% Receita Bruta (Desoneração)",4.5,IF($B$10="","Preencher cabeçalho",0))</f>
        <v>4.5</v>
      </c>
      <c r="C22" s="77">
        <f>IF($A$22="CPRB - Alíquota 4,5% Receita Bruta (Desoneração)",4.5,IF($B$10="","Preencher cabeçalho",0))</f>
        <v>4.5</v>
      </c>
      <c r="D22" s="85">
        <f>IF($A$22="CPRB - Alíquota 4,5% Receita Bruta (Desoneração)",4.5,IF($B$10="","Preencher cabeçalho",0))</f>
        <v>4.5</v>
      </c>
      <c r="E22" s="86">
        <f>IF(B10="SIM",4.5,0)</f>
        <v>4.5</v>
      </c>
      <c r="F22" s="68" t="str">
        <f t="shared" si="0"/>
        <v>OK</v>
      </c>
      <c r="G22" s="84"/>
      <c r="H22" s="84"/>
      <c r="I22" s="84"/>
      <c r="J22" s="84"/>
      <c r="K22" s="71"/>
    </row>
    <row r="23" spans="1:13" ht="48" customHeight="1" thickBot="1" x14ac:dyDescent="0.3">
      <c r="A23" s="87" t="s">
        <v>758</v>
      </c>
      <c r="B23" s="88">
        <f>IF($B$10="SIM",E28,"")</f>
        <v>26.575233160621757</v>
      </c>
      <c r="C23" s="88">
        <f>IF($B$10="SIM",J27,"")</f>
        <v>28.447461139896379</v>
      </c>
      <c r="D23" s="88">
        <f>IF($B$10="SIM",L27,"")</f>
        <v>31.476683937823836</v>
      </c>
      <c r="E23" s="89">
        <f>IF(B10="SIM",IF(G23&lt;12,"PREENCHER CÉLULAS RESTANTES",((((1+E14/100+E15/100+E16/100)*(1+E17/100)*(1+E18/100))/(1-((E19+E20+E21*$B$9+E22)/100))-1)*100)),"")</f>
        <v>28.819864834542329</v>
      </c>
      <c r="F23" s="71"/>
      <c r="G23" s="90">
        <f>COUNTIF(F8:F22,"OK")</f>
        <v>12</v>
      </c>
      <c r="I23" s="91"/>
      <c r="J23" s="71"/>
      <c r="K23" s="71"/>
    </row>
    <row r="24" spans="1:13" s="69" customFormat="1" ht="48.75" customHeight="1" thickBot="1" x14ac:dyDescent="0.3">
      <c r="A24" s="87" t="s">
        <v>759</v>
      </c>
      <c r="B24" s="88">
        <f>IF(B8&lt;&gt;"",VLOOKUP($B$8,'[1]Base dados - TCU 2622_2013'!$A$7:$Y$14,23,),"")</f>
        <v>20.34</v>
      </c>
      <c r="C24" s="88">
        <f>IF(B8&lt;&gt;"",VLOOKUP($B$8,'[1]Base dados - TCU 2622_2013'!$A$7:$Y$14,24,),"")</f>
        <v>22.12</v>
      </c>
      <c r="D24" s="88">
        <f>IF(B8&lt;&gt;"",VLOOKUP($B$8,'[1]Base dados - TCU 2622_2013'!$A$7:$Y$14,25,),"")</f>
        <v>25</v>
      </c>
      <c r="E24" s="89" t="str">
        <f>IF(B10="NÃO",IF(G23&lt;12,"PREENCHER CÉLULAS RESTANTES",((((1+E14/100+E15/100+E16/100)*(1+E17/100)*(1+E18/100))/(1-((E19+E20+E21*$B$9)/100))-1)*100)),"")</f>
        <v/>
      </c>
      <c r="F24" s="68" t="str">
        <f>IF(E26="ERRADO","BDI EXTRAPOLA A MAIS OU A MENOS OS LIMITES DO BDI ESTABELECIDOS PELO TCYU ACÓRDÃO 2622/2013","")</f>
        <v/>
      </c>
      <c r="G24" s="92"/>
      <c r="H24" s="92"/>
      <c r="I24" s="93"/>
      <c r="J24" s="68"/>
      <c r="K24" s="68"/>
    </row>
    <row r="25" spans="1:13" s="69" customFormat="1" ht="16.5" thickBot="1" x14ac:dyDescent="0.3">
      <c r="A25" s="94" t="s">
        <v>760</v>
      </c>
      <c r="F25" s="68"/>
      <c r="H25" s="93"/>
      <c r="I25" s="93"/>
      <c r="J25" s="68"/>
      <c r="K25" s="68"/>
    </row>
    <row r="26" spans="1:13" s="69" customFormat="1" ht="15.75" customHeight="1" thickBot="1" x14ac:dyDescent="0.3">
      <c r="A26" s="94" t="s">
        <v>761</v>
      </c>
      <c r="D26" s="95" t="s">
        <v>762</v>
      </c>
      <c r="E26" s="96" t="str">
        <f>IF(B10="NÃO",(IF(E24&gt;D24,"INADEQUADO",IF(E24&lt;B24,"INADEQUADO","OK"))),IF(B10="SIM",(IF(E23&gt;D23,"INADEQUADO",IF(E23&lt;B23,"INADEQUADO","OK"))),""))</f>
        <v>OK</v>
      </c>
      <c r="F26" s="97" t="s">
        <v>763</v>
      </c>
      <c r="G26" s="93"/>
      <c r="H26" s="93"/>
      <c r="I26" s="93"/>
      <c r="J26" s="68"/>
      <c r="K26" s="68"/>
    </row>
    <row r="27" spans="1:13" x14ac:dyDescent="0.25">
      <c r="D27" s="98" t="str">
        <f>IF(B10="SIM","BDI s/ desoneração:","")</f>
        <v>BDI s/ desoneração:</v>
      </c>
      <c r="E27" s="99">
        <f>IF(B10="SIM",((((1+E14/100+E15/100+E16/100)*(1+E17/100)*(1+E18/100))/(1-((E19+E20+E21*$B$9)/100))-1)*100),"")</f>
        <v>22.474058685057496</v>
      </c>
      <c r="F27" s="97" t="s">
        <v>764</v>
      </c>
      <c r="G27" s="91"/>
      <c r="I27" s="90">
        <f>VLOOKUP($B$8,'[1]Base dados - TCU 2622_2013'!$A$7:$Y$14,23,)</f>
        <v>20.34</v>
      </c>
      <c r="J27" s="90">
        <f>((1+K27/100)*(((0.045/(0.9185-$E$21/100*$B$9))+1))-1)*100</f>
        <v>28.447461139896379</v>
      </c>
      <c r="K27" s="90">
        <f>VLOOKUP($B$8,'[1]Base dados - TCU 2622_2013'!$A$7:$Y$14,24,)</f>
        <v>22.12</v>
      </c>
      <c r="L27" s="90">
        <f>((1+M27/100)*(((0.045/(0.9185-$E$21/100*$B$9))+1))-1)*100</f>
        <v>31.476683937823836</v>
      </c>
      <c r="M27" s="90">
        <f>VLOOKUP($B$8,'[1]Base dados - TCU 2622_2013'!$A$7:$Y$14,25,)</f>
        <v>25</v>
      </c>
    </row>
    <row r="28" spans="1:13" ht="15.75" x14ac:dyDescent="0.25">
      <c r="A28" s="437" t="s">
        <v>765</v>
      </c>
      <c r="B28" s="437"/>
      <c r="C28" s="437"/>
      <c r="D28" s="437"/>
      <c r="E28" s="100">
        <f>((1+I27/100)*(((0.045/(0.9185-$E$21/100*$B$9))+1))-1)*100</f>
        <v>26.575233160621757</v>
      </c>
      <c r="F28" s="93"/>
      <c r="G28" s="71"/>
      <c r="I28" s="90"/>
      <c r="J28" s="90">
        <f>((1+K27/100)*(0.9635-$E$21*$B$9/100)/(0.9435-$E$22*$B$9/100)-1)*100</f>
        <v>24.158731218697827</v>
      </c>
      <c r="K28" s="90"/>
      <c r="L28" s="90">
        <f>((1+M27/100)*(0.9635-$E$21*$B$9/100)/(0.9435-$E$22*$B$9/100)-1)*100</f>
        <v>27.086811352253747</v>
      </c>
      <c r="M28" s="90"/>
    </row>
    <row r="29" spans="1:13" x14ac:dyDescent="0.25">
      <c r="E29" s="100">
        <f>((1+I27/100)*(0.9635-$E$21*$B$9/100)/(0.9185-$E$22*$B$9/100)-1)*100</f>
        <v>25.850704064109919</v>
      </c>
      <c r="F29" s="93"/>
      <c r="G29" s="71"/>
      <c r="H29" s="71"/>
      <c r="I29" s="71"/>
      <c r="J29" s="71"/>
      <c r="K29" s="71"/>
      <c r="L29" s="71"/>
    </row>
    <row r="30" spans="1:13" x14ac:dyDescent="0.25">
      <c r="F30" s="71"/>
    </row>
    <row r="31" spans="1:13" x14ac:dyDescent="0.25">
      <c r="F31" s="71"/>
    </row>
    <row r="32" spans="1:13" x14ac:dyDescent="0.25">
      <c r="F32" s="71"/>
    </row>
    <row r="33" spans="1:11" ht="15" x14ac:dyDescent="0.25">
      <c r="A33" s="101" t="s">
        <v>766</v>
      </c>
      <c r="F33" s="71"/>
      <c r="G33" s="71"/>
      <c r="H33" s="71"/>
      <c r="I33" s="71"/>
      <c r="J33" s="71"/>
      <c r="K33" s="71"/>
    </row>
    <row r="34" spans="1:11" ht="15" x14ac:dyDescent="0.25">
      <c r="A34" s="450" t="s">
        <v>767</v>
      </c>
      <c r="B34" s="450"/>
      <c r="C34" s="450"/>
      <c r="D34" s="450"/>
      <c r="F34" s="71"/>
      <c r="G34" s="71"/>
      <c r="H34" s="71"/>
      <c r="I34" s="71"/>
      <c r="J34" s="71"/>
      <c r="K34" s="71"/>
    </row>
    <row r="35" spans="1:11" ht="15" x14ac:dyDescent="0.25">
      <c r="A35" s="450" t="s">
        <v>768</v>
      </c>
      <c r="B35" s="450"/>
      <c r="C35" s="450"/>
      <c r="D35" s="450"/>
      <c r="F35" s="71"/>
      <c r="G35" s="71"/>
      <c r="H35" s="71"/>
      <c r="I35" s="71"/>
      <c r="J35" s="71"/>
      <c r="K35" s="71"/>
    </row>
    <row r="36" spans="1:11" ht="15" x14ac:dyDescent="0.25">
      <c r="A36" s="450" t="s">
        <v>769</v>
      </c>
      <c r="B36" s="450"/>
      <c r="C36" s="450"/>
      <c r="D36" s="450"/>
      <c r="F36" s="71"/>
      <c r="G36" s="71"/>
      <c r="H36" s="71"/>
      <c r="I36" s="71"/>
      <c r="J36" s="71"/>
      <c r="K36" s="71"/>
    </row>
    <row r="37" spans="1:11" ht="15" x14ac:dyDescent="0.25">
      <c r="A37" s="450" t="s">
        <v>770</v>
      </c>
      <c r="B37" s="450"/>
      <c r="C37" s="450"/>
      <c r="D37" s="450"/>
      <c r="E37" s="450"/>
      <c r="F37" s="71"/>
      <c r="H37" s="71"/>
      <c r="I37" s="71"/>
      <c r="J37" s="71"/>
      <c r="K37" s="71"/>
    </row>
    <row r="38" spans="1:11" ht="15" x14ac:dyDescent="0.25">
      <c r="A38" s="450" t="s">
        <v>771</v>
      </c>
      <c r="B38" s="450"/>
      <c r="C38" s="450"/>
      <c r="D38" s="450"/>
      <c r="F38" s="71"/>
      <c r="G38" s="71"/>
      <c r="H38" s="71"/>
      <c r="I38" s="71"/>
      <c r="J38" s="71"/>
      <c r="K38" s="71"/>
    </row>
    <row r="39" spans="1:11" ht="15" x14ac:dyDescent="0.25">
      <c r="A39" s="102"/>
      <c r="B39" s="102"/>
      <c r="C39" s="102"/>
      <c r="D39" s="102"/>
      <c r="F39" s="71"/>
      <c r="G39" s="71"/>
      <c r="H39" s="71"/>
      <c r="I39" s="71"/>
      <c r="J39" s="71"/>
      <c r="K39" s="71"/>
    </row>
    <row r="40" spans="1:11" ht="68.25" customHeight="1" x14ac:dyDescent="0.25">
      <c r="A40" s="451" t="str">
        <f>CONCATENATE("Declaro para os devidos fins que, conforme legislação tributária municipal, a base de cálculo do ISS para ",B8," é de ",B9*100,"%, com a respectiva alíquota de ",E21,"%. Declaramos ainda que adotamos orçamento ",IF(B10="SIM","Com Desoneração",IF(B10="NÃO","Sem Desoneração",""))," e que esta é a alternativa mais adequada para a Administração Pública.")</f>
        <v>Declaro para os devidos fins que, conforme legislação tributária municipal, a base de cálculo do ISS para Construção de Edifícios e Reformas (Quadras, unidades habitacionais, escolas, restaurantes, etc) é de 100%, com a respectiva alíquota de 5%. Declaramos ainda que adotamos orçamento Com Desoneração e que esta é a alternativa mais adequada para a Administração Pública.</v>
      </c>
      <c r="B40" s="452"/>
      <c r="C40" s="452"/>
      <c r="D40" s="452"/>
      <c r="E40" s="453"/>
      <c r="F40" s="71"/>
      <c r="G40" s="71"/>
      <c r="H40" s="71"/>
      <c r="I40" s="71"/>
      <c r="J40" s="71"/>
      <c r="K40" s="71"/>
    </row>
    <row r="41" spans="1:11" ht="15" x14ac:dyDescent="0.25">
      <c r="A41" s="102"/>
      <c r="B41" s="102"/>
      <c r="C41" s="102"/>
      <c r="D41" s="102"/>
      <c r="F41" s="71"/>
      <c r="G41" s="71"/>
      <c r="H41" s="71"/>
      <c r="I41" s="71"/>
      <c r="J41" s="71"/>
      <c r="K41" s="71"/>
    </row>
    <row r="42" spans="1:11" ht="15" x14ac:dyDescent="0.25">
      <c r="A42" s="103"/>
      <c r="B42" s="102"/>
      <c r="C42" s="102"/>
      <c r="D42" s="102"/>
      <c r="F42" s="71"/>
      <c r="G42" s="71"/>
      <c r="H42" s="71"/>
      <c r="I42" s="71"/>
      <c r="J42" s="71"/>
      <c r="K42" s="71"/>
    </row>
    <row r="43" spans="1:11" ht="15" x14ac:dyDescent="0.25">
      <c r="A43" s="102"/>
      <c r="B43" s="102"/>
      <c r="C43" s="102"/>
      <c r="D43" s="102"/>
      <c r="F43" s="71"/>
      <c r="G43" s="71"/>
      <c r="H43" s="71"/>
      <c r="I43" s="71"/>
      <c r="J43" s="71"/>
      <c r="K43" s="71"/>
    </row>
    <row r="44" spans="1:11" ht="15" x14ac:dyDescent="0.25">
      <c r="A44" s="104"/>
      <c r="B44" s="102"/>
      <c r="C44" s="454"/>
      <c r="D44" s="454"/>
      <c r="E44" s="454"/>
      <c r="F44" s="71"/>
      <c r="G44" s="71"/>
      <c r="H44" s="71"/>
      <c r="I44" s="71"/>
      <c r="J44" s="71"/>
      <c r="K44" s="71"/>
    </row>
    <row r="45" spans="1:11" ht="15" x14ac:dyDescent="0.25">
      <c r="A45" s="103" t="s">
        <v>772</v>
      </c>
      <c r="B45" s="102"/>
      <c r="C45" s="105" t="s">
        <v>773</v>
      </c>
      <c r="D45" s="455"/>
      <c r="E45" s="455"/>
      <c r="F45" s="71"/>
      <c r="G45" s="71"/>
      <c r="H45" s="71"/>
      <c r="I45" s="71"/>
      <c r="J45" s="71"/>
      <c r="K45" s="71"/>
    </row>
    <row r="46" spans="1:11" ht="15" x14ac:dyDescent="0.25">
      <c r="A46" s="103" t="s">
        <v>774</v>
      </c>
      <c r="B46" s="102"/>
      <c r="C46" s="106" t="s">
        <v>775</v>
      </c>
      <c r="D46" s="456"/>
      <c r="E46" s="456"/>
      <c r="F46" s="71"/>
      <c r="G46" s="71"/>
      <c r="H46" s="71"/>
      <c r="I46" s="71"/>
      <c r="J46" s="71"/>
      <c r="K46" s="71"/>
    </row>
    <row r="47" spans="1:11" ht="15" x14ac:dyDescent="0.25">
      <c r="A47" s="102"/>
      <c r="B47" s="102"/>
      <c r="C47" s="102"/>
      <c r="D47" s="102"/>
      <c r="F47" s="71"/>
      <c r="G47" s="71"/>
      <c r="H47" s="71"/>
      <c r="I47" s="71"/>
      <c r="J47" s="71"/>
      <c r="K47" s="71"/>
    </row>
    <row r="48" spans="1:11" x14ac:dyDescent="0.25">
      <c r="A48" s="107"/>
      <c r="B48" s="107"/>
      <c r="C48" s="107"/>
      <c r="D48" s="107"/>
      <c r="E48" s="107"/>
    </row>
    <row r="49" spans="1:5" ht="25.5" customHeight="1" x14ac:dyDescent="0.25">
      <c r="A49" s="457"/>
      <c r="B49" s="457"/>
      <c r="C49" s="457"/>
      <c r="D49" s="457"/>
      <c r="E49" s="457"/>
    </row>
    <row r="50" spans="1:5" ht="25.5" customHeight="1" x14ac:dyDescent="0.25">
      <c r="A50" s="108"/>
      <c r="B50" s="108"/>
      <c r="C50" s="108"/>
      <c r="D50" s="108"/>
      <c r="E50" s="108"/>
    </row>
    <row r="51" spans="1:5" ht="25.5" customHeight="1" x14ac:dyDescent="0.25">
      <c r="A51" s="457"/>
      <c r="B51" s="457"/>
      <c r="C51" s="457"/>
      <c r="D51" s="457"/>
      <c r="E51" s="457"/>
    </row>
    <row r="52" spans="1:5" s="110" customFormat="1" x14ac:dyDescent="0.25">
      <c r="A52" s="109"/>
      <c r="B52" s="109"/>
      <c r="C52" s="109"/>
      <c r="D52" s="109"/>
      <c r="E52" s="109"/>
    </row>
    <row r="53" spans="1:5" s="112" customFormat="1" ht="15.75" x14ac:dyDescent="0.25">
      <c r="A53" s="111"/>
      <c r="B53" s="109"/>
      <c r="C53" s="109"/>
      <c r="D53" s="109"/>
      <c r="E53" s="109"/>
    </row>
    <row r="54" spans="1:5" s="114" customFormat="1" ht="8.25" x14ac:dyDescent="0.25">
      <c r="A54" s="113"/>
      <c r="B54" s="113"/>
      <c r="C54" s="113"/>
      <c r="D54" s="113"/>
      <c r="E54" s="113"/>
    </row>
    <row r="55" spans="1:5" s="112" customFormat="1" ht="16.5" customHeight="1" x14ac:dyDescent="0.25">
      <c r="A55" s="449"/>
      <c r="B55" s="449"/>
      <c r="C55" s="449"/>
      <c r="D55" s="449"/>
      <c r="E55" s="115"/>
    </row>
    <row r="56" spans="1:5" s="112" customFormat="1" ht="16.5" customHeight="1" x14ac:dyDescent="0.25">
      <c r="A56" s="449"/>
      <c r="B56" s="459"/>
      <c r="C56" s="459"/>
      <c r="D56" s="459"/>
      <c r="E56" s="115"/>
    </row>
    <row r="57" spans="1:5" s="112" customFormat="1" ht="15.75" x14ac:dyDescent="0.25">
      <c r="A57" s="449"/>
      <c r="B57" s="116"/>
      <c r="C57" s="116"/>
      <c r="D57" s="116"/>
      <c r="E57" s="115"/>
    </row>
    <row r="58" spans="1:5" s="112" customFormat="1" ht="15.75" x14ac:dyDescent="0.25">
      <c r="A58" s="117"/>
      <c r="B58" s="118"/>
      <c r="C58" s="118"/>
      <c r="D58" s="118"/>
    </row>
    <row r="59" spans="1:5" s="112" customFormat="1" ht="15.75" x14ac:dyDescent="0.25">
      <c r="A59" s="117"/>
      <c r="B59" s="118"/>
      <c r="C59" s="118"/>
      <c r="D59" s="118"/>
    </row>
    <row r="60" spans="1:5" s="112" customFormat="1" ht="15.75" x14ac:dyDescent="0.25">
      <c r="A60" s="117"/>
      <c r="B60" s="118"/>
      <c r="C60" s="118"/>
      <c r="D60" s="118"/>
    </row>
    <row r="61" spans="1:5" s="112" customFormat="1" ht="15.75" x14ac:dyDescent="0.25">
      <c r="A61" s="117"/>
      <c r="B61" s="118"/>
      <c r="C61" s="118"/>
      <c r="D61" s="118"/>
    </row>
    <row r="62" spans="1:5" s="112" customFormat="1" ht="15.75" x14ac:dyDescent="0.25">
      <c r="A62" s="117"/>
      <c r="B62" s="118"/>
      <c r="C62" s="118"/>
      <c r="D62" s="118"/>
    </row>
    <row r="63" spans="1:5" s="112" customFormat="1" ht="15.75" x14ac:dyDescent="0.25">
      <c r="A63" s="119"/>
      <c r="B63" s="120"/>
      <c r="C63" s="120"/>
      <c r="D63" s="120"/>
    </row>
    <row r="64" spans="1:5" s="112" customFormat="1" ht="15.75" x14ac:dyDescent="0.25">
      <c r="A64" s="117"/>
      <c r="B64" s="118"/>
      <c r="C64" s="118"/>
      <c r="D64" s="118"/>
    </row>
    <row r="65" spans="1:4" s="112" customFormat="1" ht="15.75" x14ac:dyDescent="0.25">
      <c r="A65" s="117"/>
      <c r="B65" s="118"/>
      <c r="C65" s="118"/>
      <c r="D65" s="118"/>
    </row>
    <row r="66" spans="1:4" s="112" customFormat="1" ht="15.75" x14ac:dyDescent="0.25">
      <c r="A66" s="117"/>
      <c r="B66" s="118"/>
      <c r="C66" s="118"/>
      <c r="D66" s="118"/>
    </row>
    <row r="67" spans="1:4" s="112" customFormat="1" ht="15.75" x14ac:dyDescent="0.25">
      <c r="A67" s="119"/>
      <c r="B67" s="120"/>
      <c r="C67" s="120"/>
      <c r="D67" s="120"/>
    </row>
    <row r="68" spans="1:4" s="114" customFormat="1" ht="8.25" x14ac:dyDescent="0.25"/>
    <row r="69" spans="1:4" s="112" customFormat="1" ht="15.75" x14ac:dyDescent="0.25">
      <c r="A69" s="437"/>
      <c r="B69" s="437"/>
      <c r="C69" s="437"/>
      <c r="D69" s="437"/>
    </row>
    <row r="70" spans="1:4" s="112" customFormat="1" x14ac:dyDescent="0.25"/>
    <row r="71" spans="1:4" s="112" customFormat="1" x14ac:dyDescent="0.25"/>
    <row r="72" spans="1:4" s="112" customFormat="1" x14ac:dyDescent="0.25"/>
    <row r="73" spans="1:4" s="112" customFormat="1" x14ac:dyDescent="0.25"/>
    <row r="74" spans="1:4" s="112" customFormat="1" ht="15" x14ac:dyDescent="0.25">
      <c r="A74" s="121"/>
    </row>
    <row r="75" spans="1:4" s="112" customFormat="1" ht="15" x14ac:dyDescent="0.25">
      <c r="A75" s="458"/>
      <c r="B75" s="458"/>
      <c r="C75" s="458"/>
      <c r="D75" s="458"/>
    </row>
    <row r="76" spans="1:4" s="112" customFormat="1" ht="15" x14ac:dyDescent="0.25">
      <c r="A76" s="458"/>
      <c r="B76" s="458"/>
      <c r="C76" s="458"/>
      <c r="D76" s="458"/>
    </row>
    <row r="77" spans="1:4" s="112" customFormat="1" ht="15" x14ac:dyDescent="0.25">
      <c r="A77" s="458"/>
      <c r="B77" s="458"/>
      <c r="C77" s="458"/>
      <c r="D77" s="458"/>
    </row>
    <row r="78" spans="1:4" s="112" customFormat="1" ht="15" x14ac:dyDescent="0.25">
      <c r="A78" s="458"/>
      <c r="B78" s="458"/>
      <c r="C78" s="458"/>
      <c r="D78" s="458"/>
    </row>
    <row r="79" spans="1:4" s="112" customFormat="1" ht="15" x14ac:dyDescent="0.25">
      <c r="A79" s="458"/>
      <c r="B79" s="458"/>
      <c r="C79" s="458"/>
      <c r="D79" s="458"/>
    </row>
    <row r="80" spans="1:4" s="112" customFormat="1" ht="15" x14ac:dyDescent="0.25">
      <c r="A80" s="458"/>
      <c r="B80" s="458"/>
      <c r="C80" s="458"/>
      <c r="D80" s="458"/>
    </row>
    <row r="81" spans="1:4" s="112" customFormat="1" ht="15" x14ac:dyDescent="0.25">
      <c r="A81" s="458"/>
      <c r="B81" s="458"/>
      <c r="C81" s="458"/>
      <c r="D81" s="458"/>
    </row>
    <row r="82" spans="1:4" s="112" customFormat="1" x14ac:dyDescent="0.25"/>
    <row r="83" spans="1:4" s="112" customFormat="1" x14ac:dyDescent="0.25"/>
    <row r="84" spans="1:4" s="112" customFormat="1" x14ac:dyDescent="0.25"/>
    <row r="85" spans="1:4" s="112" customFormat="1" x14ac:dyDescent="0.25"/>
    <row r="86" spans="1:4" s="112" customFormat="1" x14ac:dyDescent="0.25"/>
    <row r="87" spans="1:4" s="112" customFormat="1" x14ac:dyDescent="0.25"/>
    <row r="88" spans="1:4" s="112" customFormat="1" x14ac:dyDescent="0.25"/>
    <row r="89" spans="1:4" s="112" customFormat="1" x14ac:dyDescent="0.25"/>
    <row r="90" spans="1:4" s="112" customFormat="1" x14ac:dyDescent="0.25"/>
    <row r="91" spans="1:4" s="112" customFormat="1" x14ac:dyDescent="0.25"/>
    <row r="92" spans="1:4" s="112" customFormat="1" x14ac:dyDescent="0.25"/>
    <row r="93" spans="1:4" s="112" customFormat="1" x14ac:dyDescent="0.25"/>
    <row r="94" spans="1:4" s="112" customFormat="1" x14ac:dyDescent="0.25"/>
    <row r="95" spans="1:4" s="112" customFormat="1" x14ac:dyDescent="0.25"/>
    <row r="96" spans="1:4" s="112" customFormat="1" x14ac:dyDescent="0.25"/>
    <row r="97" s="112" customFormat="1" x14ac:dyDescent="0.25"/>
    <row r="98" s="112" customFormat="1" x14ac:dyDescent="0.25"/>
    <row r="99" s="112" customFormat="1" x14ac:dyDescent="0.25"/>
    <row r="100" s="112" customFormat="1" x14ac:dyDescent="0.25"/>
    <row r="101" s="112" customFormat="1" x14ac:dyDescent="0.25"/>
    <row r="102" s="112" customFormat="1" x14ac:dyDescent="0.25"/>
    <row r="103" s="112" customFormat="1" x14ac:dyDescent="0.25"/>
    <row r="104" s="112" customFormat="1" x14ac:dyDescent="0.25"/>
    <row r="105" s="112" customFormat="1" x14ac:dyDescent="0.25"/>
    <row r="106" s="112" customFormat="1" x14ac:dyDescent="0.25"/>
    <row r="107" s="112" customFormat="1" x14ac:dyDescent="0.25"/>
    <row r="108" s="112" customFormat="1" x14ac:dyDescent="0.25"/>
    <row r="109" s="112" customFormat="1" x14ac:dyDescent="0.25"/>
    <row r="110" s="112" customFormat="1" x14ac:dyDescent="0.25"/>
    <row r="111" s="112" customFormat="1" x14ac:dyDescent="0.25"/>
    <row r="112" s="112" customFormat="1" x14ac:dyDescent="0.25"/>
    <row r="113" s="112" customFormat="1" x14ac:dyDescent="0.25"/>
    <row r="114" s="112" customFormat="1" x14ac:dyDescent="0.25"/>
    <row r="115" s="112" customFormat="1" x14ac:dyDescent="0.25"/>
    <row r="116" s="112" customFormat="1" x14ac:dyDescent="0.25"/>
    <row r="117" s="112" customFormat="1" x14ac:dyDescent="0.25"/>
    <row r="118" s="112" customFormat="1" x14ac:dyDescent="0.25"/>
    <row r="119" s="112" customFormat="1" x14ac:dyDescent="0.25"/>
    <row r="120" s="112" customFormat="1" x14ac:dyDescent="0.25"/>
    <row r="121" s="112" customFormat="1" x14ac:dyDescent="0.25"/>
    <row r="122" s="112" customFormat="1" x14ac:dyDescent="0.25"/>
    <row r="123" s="112" customFormat="1" x14ac:dyDescent="0.25"/>
    <row r="124" s="112" customFormat="1" x14ac:dyDescent="0.25"/>
    <row r="125" s="112" customFormat="1" x14ac:dyDescent="0.25"/>
    <row r="126" s="112" customFormat="1" x14ac:dyDescent="0.25"/>
    <row r="127" s="112" customFormat="1" x14ac:dyDescent="0.25"/>
    <row r="128" s="112" customFormat="1" x14ac:dyDescent="0.25"/>
    <row r="129" s="112" customFormat="1" x14ac:dyDescent="0.25"/>
    <row r="130" s="112" customFormat="1" x14ac:dyDescent="0.25"/>
    <row r="131" s="112" customFormat="1" x14ac:dyDescent="0.25"/>
    <row r="132" s="112" customFormat="1" x14ac:dyDescent="0.25"/>
    <row r="133" s="112" customFormat="1" x14ac:dyDescent="0.25"/>
    <row r="134" s="112" customFormat="1" x14ac:dyDescent="0.25"/>
    <row r="135" s="112" customFormat="1" x14ac:dyDescent="0.25"/>
    <row r="136" s="112" customFormat="1" x14ac:dyDescent="0.25"/>
    <row r="137" s="112" customFormat="1" x14ac:dyDescent="0.25"/>
    <row r="138" s="112" customFormat="1" x14ac:dyDescent="0.25"/>
    <row r="139" s="112" customFormat="1" x14ac:dyDescent="0.25"/>
    <row r="140" s="112" customFormat="1" x14ac:dyDescent="0.25"/>
    <row r="141" s="112" customFormat="1" x14ac:dyDescent="0.25"/>
    <row r="142" s="112" customFormat="1" x14ac:dyDescent="0.25"/>
    <row r="143" s="112" customFormat="1" x14ac:dyDescent="0.25"/>
    <row r="144" s="112" customFormat="1" x14ac:dyDescent="0.25"/>
    <row r="145" s="112" customFormat="1" x14ac:dyDescent="0.25"/>
    <row r="146" s="112" customFormat="1" x14ac:dyDescent="0.25"/>
    <row r="147" s="112" customFormat="1" x14ac:dyDescent="0.25"/>
    <row r="148" s="112" customFormat="1" x14ac:dyDescent="0.25"/>
    <row r="149" s="112" customFormat="1" x14ac:dyDescent="0.25"/>
    <row r="150" s="112" customFormat="1" x14ac:dyDescent="0.25"/>
    <row r="151" s="112" customFormat="1" x14ac:dyDescent="0.25"/>
    <row r="152" s="112" customFormat="1" x14ac:dyDescent="0.25"/>
    <row r="153" s="112" customFormat="1" x14ac:dyDescent="0.25"/>
    <row r="154" s="112" customFormat="1" x14ac:dyDescent="0.25"/>
    <row r="155" s="112" customFormat="1" x14ac:dyDescent="0.25"/>
    <row r="156" s="112" customFormat="1" x14ac:dyDescent="0.25"/>
  </sheetData>
  <sheetProtection password="D921" sheet="1" formatCells="0" formatColumns="0" formatRows="0" insertColumns="0" insertRows="0" insertHyperlinks="0" deleteColumns="0" deleteRows="0" selectLockedCells="1" sort="0" autoFilter="0" pivotTables="0"/>
  <dataConsolidate link="1"/>
  <mergeCells count="34">
    <mergeCell ref="A78:D78"/>
    <mergeCell ref="A79:D79"/>
    <mergeCell ref="A80:D80"/>
    <mergeCell ref="A81:D81"/>
    <mergeCell ref="A56:A57"/>
    <mergeCell ref="B56:D56"/>
    <mergeCell ref="A69:D69"/>
    <mergeCell ref="A75:D75"/>
    <mergeCell ref="A76:D76"/>
    <mergeCell ref="A77:D77"/>
    <mergeCell ref="A55:D55"/>
    <mergeCell ref="A34:D34"/>
    <mergeCell ref="A35:D35"/>
    <mergeCell ref="A36:D36"/>
    <mergeCell ref="A37:E37"/>
    <mergeCell ref="A38:D38"/>
    <mergeCell ref="A40:E40"/>
    <mergeCell ref="C44:E44"/>
    <mergeCell ref="D45:E45"/>
    <mergeCell ref="D46:E46"/>
    <mergeCell ref="A49:E49"/>
    <mergeCell ref="A51:E51"/>
    <mergeCell ref="A28:D28"/>
    <mergeCell ref="A1:E1"/>
    <mergeCell ref="A3:E3"/>
    <mergeCell ref="B5:E5"/>
    <mergeCell ref="B6:E6"/>
    <mergeCell ref="B7:E7"/>
    <mergeCell ref="B8:E8"/>
    <mergeCell ref="B9:E9"/>
    <mergeCell ref="B10:E10"/>
    <mergeCell ref="A12:A13"/>
    <mergeCell ref="B12:D12"/>
    <mergeCell ref="E12:E13"/>
  </mergeCells>
  <conditionalFormatting sqref="E26">
    <cfRule type="cellIs" dxfId="1" priority="1" stopIfTrue="1" operator="equal">
      <formula>"INADEQUADO"</formula>
    </cfRule>
    <cfRule type="cellIs" dxfId="0" priority="2" stopIfTrue="1" operator="equal">
      <formula>"OK"</formula>
    </cfRule>
  </conditionalFormatting>
  <dataValidations count="6">
    <dataValidation type="list" allowBlank="1" showInputMessage="1" showErrorMessage="1" errorTitle="ERRO" error="Digitar SIM ou NÃO!" sqref="B10:E10 IX10:JA10 ST10:SW10 ACP10:ACS10 AML10:AMO10 AWH10:AWK10 BGD10:BGG10 BPZ10:BQC10 BZV10:BZY10 CJR10:CJU10 CTN10:CTQ10 DDJ10:DDM10 DNF10:DNI10 DXB10:DXE10 EGX10:EHA10 EQT10:EQW10 FAP10:FAS10 FKL10:FKO10 FUH10:FUK10 GED10:GEG10 GNZ10:GOC10 GXV10:GXY10 HHR10:HHU10 HRN10:HRQ10 IBJ10:IBM10 ILF10:ILI10 IVB10:IVE10 JEX10:JFA10 JOT10:JOW10 JYP10:JYS10 KIL10:KIO10 KSH10:KSK10 LCD10:LCG10 LLZ10:LMC10 LVV10:LVY10 MFR10:MFU10 MPN10:MPQ10 MZJ10:MZM10 NJF10:NJI10 NTB10:NTE10 OCX10:ODA10 OMT10:OMW10 OWP10:OWS10 PGL10:PGO10 PQH10:PQK10 QAD10:QAG10 QJZ10:QKC10 QTV10:QTY10 RDR10:RDU10 RNN10:RNQ10 RXJ10:RXM10 SHF10:SHI10 SRB10:SRE10 TAX10:TBA10 TKT10:TKW10 TUP10:TUS10 UEL10:UEO10 UOH10:UOK10 UYD10:UYG10 VHZ10:VIC10 VRV10:VRY10 WBR10:WBU10 WLN10:WLQ10 WVJ10:WVM10 B65546:E65546 IX65546:JA65546 ST65546:SW65546 ACP65546:ACS65546 AML65546:AMO65546 AWH65546:AWK65546 BGD65546:BGG65546 BPZ65546:BQC65546 BZV65546:BZY65546 CJR65546:CJU65546 CTN65546:CTQ65546 DDJ65546:DDM65546 DNF65546:DNI65546 DXB65546:DXE65546 EGX65546:EHA65546 EQT65546:EQW65546 FAP65546:FAS65546 FKL65546:FKO65546 FUH65546:FUK65546 GED65546:GEG65546 GNZ65546:GOC65546 GXV65546:GXY65546 HHR65546:HHU65546 HRN65546:HRQ65546 IBJ65546:IBM65546 ILF65546:ILI65546 IVB65546:IVE65546 JEX65546:JFA65546 JOT65546:JOW65546 JYP65546:JYS65546 KIL65546:KIO65546 KSH65546:KSK65546 LCD65546:LCG65546 LLZ65546:LMC65546 LVV65546:LVY65546 MFR65546:MFU65546 MPN65546:MPQ65546 MZJ65546:MZM65546 NJF65546:NJI65546 NTB65546:NTE65546 OCX65546:ODA65546 OMT65546:OMW65546 OWP65546:OWS65546 PGL65546:PGO65546 PQH65546:PQK65546 QAD65546:QAG65546 QJZ65546:QKC65546 QTV65546:QTY65546 RDR65546:RDU65546 RNN65546:RNQ65546 RXJ65546:RXM65546 SHF65546:SHI65546 SRB65546:SRE65546 TAX65546:TBA65546 TKT65546:TKW65546 TUP65546:TUS65546 UEL65546:UEO65546 UOH65546:UOK65546 UYD65546:UYG65546 VHZ65546:VIC65546 VRV65546:VRY65546 WBR65546:WBU65546 WLN65546:WLQ65546 WVJ65546:WVM65546 B131082:E131082 IX131082:JA131082 ST131082:SW131082 ACP131082:ACS131082 AML131082:AMO131082 AWH131082:AWK131082 BGD131082:BGG131082 BPZ131082:BQC131082 BZV131082:BZY131082 CJR131082:CJU131082 CTN131082:CTQ131082 DDJ131082:DDM131082 DNF131082:DNI131082 DXB131082:DXE131082 EGX131082:EHA131082 EQT131082:EQW131082 FAP131082:FAS131082 FKL131082:FKO131082 FUH131082:FUK131082 GED131082:GEG131082 GNZ131082:GOC131082 GXV131082:GXY131082 HHR131082:HHU131082 HRN131082:HRQ131082 IBJ131082:IBM131082 ILF131082:ILI131082 IVB131082:IVE131082 JEX131082:JFA131082 JOT131082:JOW131082 JYP131082:JYS131082 KIL131082:KIO131082 KSH131082:KSK131082 LCD131082:LCG131082 LLZ131082:LMC131082 LVV131082:LVY131082 MFR131082:MFU131082 MPN131082:MPQ131082 MZJ131082:MZM131082 NJF131082:NJI131082 NTB131082:NTE131082 OCX131082:ODA131082 OMT131082:OMW131082 OWP131082:OWS131082 PGL131082:PGO131082 PQH131082:PQK131082 QAD131082:QAG131082 QJZ131082:QKC131082 QTV131082:QTY131082 RDR131082:RDU131082 RNN131082:RNQ131082 RXJ131082:RXM131082 SHF131082:SHI131082 SRB131082:SRE131082 TAX131082:TBA131082 TKT131082:TKW131082 TUP131082:TUS131082 UEL131082:UEO131082 UOH131082:UOK131082 UYD131082:UYG131082 VHZ131082:VIC131082 VRV131082:VRY131082 WBR131082:WBU131082 WLN131082:WLQ131082 WVJ131082:WVM131082 B196618:E196618 IX196618:JA196618 ST196618:SW196618 ACP196618:ACS196618 AML196618:AMO196618 AWH196618:AWK196618 BGD196618:BGG196618 BPZ196618:BQC196618 BZV196618:BZY196618 CJR196618:CJU196618 CTN196618:CTQ196618 DDJ196618:DDM196618 DNF196618:DNI196618 DXB196618:DXE196618 EGX196618:EHA196618 EQT196618:EQW196618 FAP196618:FAS196618 FKL196618:FKO196618 FUH196618:FUK196618 GED196618:GEG196618 GNZ196618:GOC196618 GXV196618:GXY196618 HHR196618:HHU196618 HRN196618:HRQ196618 IBJ196618:IBM196618 ILF196618:ILI196618 IVB196618:IVE196618 JEX196618:JFA196618 JOT196618:JOW196618 JYP196618:JYS196618 KIL196618:KIO196618 KSH196618:KSK196618 LCD196618:LCG196618 LLZ196618:LMC196618 LVV196618:LVY196618 MFR196618:MFU196618 MPN196618:MPQ196618 MZJ196618:MZM196618 NJF196618:NJI196618 NTB196618:NTE196618 OCX196618:ODA196618 OMT196618:OMW196618 OWP196618:OWS196618 PGL196618:PGO196618 PQH196618:PQK196618 QAD196618:QAG196618 QJZ196618:QKC196618 QTV196618:QTY196618 RDR196618:RDU196618 RNN196618:RNQ196618 RXJ196618:RXM196618 SHF196618:SHI196618 SRB196618:SRE196618 TAX196618:TBA196618 TKT196618:TKW196618 TUP196618:TUS196618 UEL196618:UEO196618 UOH196618:UOK196618 UYD196618:UYG196618 VHZ196618:VIC196618 VRV196618:VRY196618 WBR196618:WBU196618 WLN196618:WLQ196618 WVJ196618:WVM196618 B262154:E262154 IX262154:JA262154 ST262154:SW262154 ACP262154:ACS262154 AML262154:AMO262154 AWH262154:AWK262154 BGD262154:BGG262154 BPZ262154:BQC262154 BZV262154:BZY262154 CJR262154:CJU262154 CTN262154:CTQ262154 DDJ262154:DDM262154 DNF262154:DNI262154 DXB262154:DXE262154 EGX262154:EHA262154 EQT262154:EQW262154 FAP262154:FAS262154 FKL262154:FKO262154 FUH262154:FUK262154 GED262154:GEG262154 GNZ262154:GOC262154 GXV262154:GXY262154 HHR262154:HHU262154 HRN262154:HRQ262154 IBJ262154:IBM262154 ILF262154:ILI262154 IVB262154:IVE262154 JEX262154:JFA262154 JOT262154:JOW262154 JYP262154:JYS262154 KIL262154:KIO262154 KSH262154:KSK262154 LCD262154:LCG262154 LLZ262154:LMC262154 LVV262154:LVY262154 MFR262154:MFU262154 MPN262154:MPQ262154 MZJ262154:MZM262154 NJF262154:NJI262154 NTB262154:NTE262154 OCX262154:ODA262154 OMT262154:OMW262154 OWP262154:OWS262154 PGL262154:PGO262154 PQH262154:PQK262154 QAD262154:QAG262154 QJZ262154:QKC262154 QTV262154:QTY262154 RDR262154:RDU262154 RNN262154:RNQ262154 RXJ262154:RXM262154 SHF262154:SHI262154 SRB262154:SRE262154 TAX262154:TBA262154 TKT262154:TKW262154 TUP262154:TUS262154 UEL262154:UEO262154 UOH262154:UOK262154 UYD262154:UYG262154 VHZ262154:VIC262154 VRV262154:VRY262154 WBR262154:WBU262154 WLN262154:WLQ262154 WVJ262154:WVM262154 B327690:E327690 IX327690:JA327690 ST327690:SW327690 ACP327690:ACS327690 AML327690:AMO327690 AWH327690:AWK327690 BGD327690:BGG327690 BPZ327690:BQC327690 BZV327690:BZY327690 CJR327690:CJU327690 CTN327690:CTQ327690 DDJ327690:DDM327690 DNF327690:DNI327690 DXB327690:DXE327690 EGX327690:EHA327690 EQT327690:EQW327690 FAP327690:FAS327690 FKL327690:FKO327690 FUH327690:FUK327690 GED327690:GEG327690 GNZ327690:GOC327690 GXV327690:GXY327690 HHR327690:HHU327690 HRN327690:HRQ327690 IBJ327690:IBM327690 ILF327690:ILI327690 IVB327690:IVE327690 JEX327690:JFA327690 JOT327690:JOW327690 JYP327690:JYS327690 KIL327690:KIO327690 KSH327690:KSK327690 LCD327690:LCG327690 LLZ327690:LMC327690 LVV327690:LVY327690 MFR327690:MFU327690 MPN327690:MPQ327690 MZJ327690:MZM327690 NJF327690:NJI327690 NTB327690:NTE327690 OCX327690:ODA327690 OMT327690:OMW327690 OWP327690:OWS327690 PGL327690:PGO327690 PQH327690:PQK327690 QAD327690:QAG327690 QJZ327690:QKC327690 QTV327690:QTY327690 RDR327690:RDU327690 RNN327690:RNQ327690 RXJ327690:RXM327690 SHF327690:SHI327690 SRB327690:SRE327690 TAX327690:TBA327690 TKT327690:TKW327690 TUP327690:TUS327690 UEL327690:UEO327690 UOH327690:UOK327690 UYD327690:UYG327690 VHZ327690:VIC327690 VRV327690:VRY327690 WBR327690:WBU327690 WLN327690:WLQ327690 WVJ327690:WVM327690 B393226:E393226 IX393226:JA393226 ST393226:SW393226 ACP393226:ACS393226 AML393226:AMO393226 AWH393226:AWK393226 BGD393226:BGG393226 BPZ393226:BQC393226 BZV393226:BZY393226 CJR393226:CJU393226 CTN393226:CTQ393226 DDJ393226:DDM393226 DNF393226:DNI393226 DXB393226:DXE393226 EGX393226:EHA393226 EQT393226:EQW393226 FAP393226:FAS393226 FKL393226:FKO393226 FUH393226:FUK393226 GED393226:GEG393226 GNZ393226:GOC393226 GXV393226:GXY393226 HHR393226:HHU393226 HRN393226:HRQ393226 IBJ393226:IBM393226 ILF393226:ILI393226 IVB393226:IVE393226 JEX393226:JFA393226 JOT393226:JOW393226 JYP393226:JYS393226 KIL393226:KIO393226 KSH393226:KSK393226 LCD393226:LCG393226 LLZ393226:LMC393226 LVV393226:LVY393226 MFR393226:MFU393226 MPN393226:MPQ393226 MZJ393226:MZM393226 NJF393226:NJI393226 NTB393226:NTE393226 OCX393226:ODA393226 OMT393226:OMW393226 OWP393226:OWS393226 PGL393226:PGO393226 PQH393226:PQK393226 QAD393226:QAG393226 QJZ393226:QKC393226 QTV393226:QTY393226 RDR393226:RDU393226 RNN393226:RNQ393226 RXJ393226:RXM393226 SHF393226:SHI393226 SRB393226:SRE393226 TAX393226:TBA393226 TKT393226:TKW393226 TUP393226:TUS393226 UEL393226:UEO393226 UOH393226:UOK393226 UYD393226:UYG393226 VHZ393226:VIC393226 VRV393226:VRY393226 WBR393226:WBU393226 WLN393226:WLQ393226 WVJ393226:WVM393226 B458762:E458762 IX458762:JA458762 ST458762:SW458762 ACP458762:ACS458762 AML458762:AMO458762 AWH458762:AWK458762 BGD458762:BGG458762 BPZ458762:BQC458762 BZV458762:BZY458762 CJR458762:CJU458762 CTN458762:CTQ458762 DDJ458762:DDM458762 DNF458762:DNI458762 DXB458762:DXE458762 EGX458762:EHA458762 EQT458762:EQW458762 FAP458762:FAS458762 FKL458762:FKO458762 FUH458762:FUK458762 GED458762:GEG458762 GNZ458762:GOC458762 GXV458762:GXY458762 HHR458762:HHU458762 HRN458762:HRQ458762 IBJ458762:IBM458762 ILF458762:ILI458762 IVB458762:IVE458762 JEX458762:JFA458762 JOT458762:JOW458762 JYP458762:JYS458762 KIL458762:KIO458762 KSH458762:KSK458762 LCD458762:LCG458762 LLZ458762:LMC458762 LVV458762:LVY458762 MFR458762:MFU458762 MPN458762:MPQ458762 MZJ458762:MZM458762 NJF458762:NJI458762 NTB458762:NTE458762 OCX458762:ODA458762 OMT458762:OMW458762 OWP458762:OWS458762 PGL458762:PGO458762 PQH458762:PQK458762 QAD458762:QAG458762 QJZ458762:QKC458762 QTV458762:QTY458762 RDR458762:RDU458762 RNN458762:RNQ458762 RXJ458762:RXM458762 SHF458762:SHI458762 SRB458762:SRE458762 TAX458762:TBA458762 TKT458762:TKW458762 TUP458762:TUS458762 UEL458762:UEO458762 UOH458762:UOK458762 UYD458762:UYG458762 VHZ458762:VIC458762 VRV458762:VRY458762 WBR458762:WBU458762 WLN458762:WLQ458762 WVJ458762:WVM458762 B524298:E524298 IX524298:JA524298 ST524298:SW524298 ACP524298:ACS524298 AML524298:AMO524298 AWH524298:AWK524298 BGD524298:BGG524298 BPZ524298:BQC524298 BZV524298:BZY524298 CJR524298:CJU524298 CTN524298:CTQ524298 DDJ524298:DDM524298 DNF524298:DNI524298 DXB524298:DXE524298 EGX524298:EHA524298 EQT524298:EQW524298 FAP524298:FAS524298 FKL524298:FKO524298 FUH524298:FUK524298 GED524298:GEG524298 GNZ524298:GOC524298 GXV524298:GXY524298 HHR524298:HHU524298 HRN524298:HRQ524298 IBJ524298:IBM524298 ILF524298:ILI524298 IVB524298:IVE524298 JEX524298:JFA524298 JOT524298:JOW524298 JYP524298:JYS524298 KIL524298:KIO524298 KSH524298:KSK524298 LCD524298:LCG524298 LLZ524298:LMC524298 LVV524298:LVY524298 MFR524298:MFU524298 MPN524298:MPQ524298 MZJ524298:MZM524298 NJF524298:NJI524298 NTB524298:NTE524298 OCX524298:ODA524298 OMT524298:OMW524298 OWP524298:OWS524298 PGL524298:PGO524298 PQH524298:PQK524298 QAD524298:QAG524298 QJZ524298:QKC524298 QTV524298:QTY524298 RDR524298:RDU524298 RNN524298:RNQ524298 RXJ524298:RXM524298 SHF524298:SHI524298 SRB524298:SRE524298 TAX524298:TBA524298 TKT524298:TKW524298 TUP524298:TUS524298 UEL524298:UEO524298 UOH524298:UOK524298 UYD524298:UYG524298 VHZ524298:VIC524298 VRV524298:VRY524298 WBR524298:WBU524298 WLN524298:WLQ524298 WVJ524298:WVM524298 B589834:E589834 IX589834:JA589834 ST589834:SW589834 ACP589834:ACS589834 AML589834:AMO589834 AWH589834:AWK589834 BGD589834:BGG589834 BPZ589834:BQC589834 BZV589834:BZY589834 CJR589834:CJU589834 CTN589834:CTQ589834 DDJ589834:DDM589834 DNF589834:DNI589834 DXB589834:DXE589834 EGX589834:EHA589834 EQT589834:EQW589834 FAP589834:FAS589834 FKL589834:FKO589834 FUH589834:FUK589834 GED589834:GEG589834 GNZ589834:GOC589834 GXV589834:GXY589834 HHR589834:HHU589834 HRN589834:HRQ589834 IBJ589834:IBM589834 ILF589834:ILI589834 IVB589834:IVE589834 JEX589834:JFA589834 JOT589834:JOW589834 JYP589834:JYS589834 KIL589834:KIO589834 KSH589834:KSK589834 LCD589834:LCG589834 LLZ589834:LMC589834 LVV589834:LVY589834 MFR589834:MFU589834 MPN589834:MPQ589834 MZJ589834:MZM589834 NJF589834:NJI589834 NTB589834:NTE589834 OCX589834:ODA589834 OMT589834:OMW589834 OWP589834:OWS589834 PGL589834:PGO589834 PQH589834:PQK589834 QAD589834:QAG589834 QJZ589834:QKC589834 QTV589834:QTY589834 RDR589834:RDU589834 RNN589834:RNQ589834 RXJ589834:RXM589834 SHF589834:SHI589834 SRB589834:SRE589834 TAX589834:TBA589834 TKT589834:TKW589834 TUP589834:TUS589834 UEL589834:UEO589834 UOH589834:UOK589834 UYD589834:UYG589834 VHZ589834:VIC589834 VRV589834:VRY589834 WBR589834:WBU589834 WLN589834:WLQ589834 WVJ589834:WVM589834 B655370:E655370 IX655370:JA655370 ST655370:SW655370 ACP655370:ACS655370 AML655370:AMO655370 AWH655370:AWK655370 BGD655370:BGG655370 BPZ655370:BQC655370 BZV655370:BZY655370 CJR655370:CJU655370 CTN655370:CTQ655370 DDJ655370:DDM655370 DNF655370:DNI655370 DXB655370:DXE655370 EGX655370:EHA655370 EQT655370:EQW655370 FAP655370:FAS655370 FKL655370:FKO655370 FUH655370:FUK655370 GED655370:GEG655370 GNZ655370:GOC655370 GXV655370:GXY655370 HHR655370:HHU655370 HRN655370:HRQ655370 IBJ655370:IBM655370 ILF655370:ILI655370 IVB655370:IVE655370 JEX655370:JFA655370 JOT655370:JOW655370 JYP655370:JYS655370 KIL655370:KIO655370 KSH655370:KSK655370 LCD655370:LCG655370 LLZ655370:LMC655370 LVV655370:LVY655370 MFR655370:MFU655370 MPN655370:MPQ655370 MZJ655370:MZM655370 NJF655370:NJI655370 NTB655370:NTE655370 OCX655370:ODA655370 OMT655370:OMW655370 OWP655370:OWS655370 PGL655370:PGO655370 PQH655370:PQK655370 QAD655370:QAG655370 QJZ655370:QKC655370 QTV655370:QTY655370 RDR655370:RDU655370 RNN655370:RNQ655370 RXJ655370:RXM655370 SHF655370:SHI655370 SRB655370:SRE655370 TAX655370:TBA655370 TKT655370:TKW655370 TUP655370:TUS655370 UEL655370:UEO655370 UOH655370:UOK655370 UYD655370:UYG655370 VHZ655370:VIC655370 VRV655370:VRY655370 WBR655370:WBU655370 WLN655370:WLQ655370 WVJ655370:WVM655370 B720906:E720906 IX720906:JA720906 ST720906:SW720906 ACP720906:ACS720906 AML720906:AMO720906 AWH720906:AWK720906 BGD720906:BGG720906 BPZ720906:BQC720906 BZV720906:BZY720906 CJR720906:CJU720906 CTN720906:CTQ720906 DDJ720906:DDM720906 DNF720906:DNI720906 DXB720906:DXE720906 EGX720906:EHA720906 EQT720906:EQW720906 FAP720906:FAS720906 FKL720906:FKO720906 FUH720906:FUK720906 GED720906:GEG720906 GNZ720906:GOC720906 GXV720906:GXY720906 HHR720906:HHU720906 HRN720906:HRQ720906 IBJ720906:IBM720906 ILF720906:ILI720906 IVB720906:IVE720906 JEX720906:JFA720906 JOT720906:JOW720906 JYP720906:JYS720906 KIL720906:KIO720906 KSH720906:KSK720906 LCD720906:LCG720906 LLZ720906:LMC720906 LVV720906:LVY720906 MFR720906:MFU720906 MPN720906:MPQ720906 MZJ720906:MZM720906 NJF720906:NJI720906 NTB720906:NTE720906 OCX720906:ODA720906 OMT720906:OMW720906 OWP720906:OWS720906 PGL720906:PGO720906 PQH720906:PQK720906 QAD720906:QAG720906 QJZ720906:QKC720906 QTV720906:QTY720906 RDR720906:RDU720906 RNN720906:RNQ720906 RXJ720906:RXM720906 SHF720906:SHI720906 SRB720906:SRE720906 TAX720906:TBA720906 TKT720906:TKW720906 TUP720906:TUS720906 UEL720906:UEO720906 UOH720906:UOK720906 UYD720906:UYG720906 VHZ720906:VIC720906 VRV720906:VRY720906 WBR720906:WBU720906 WLN720906:WLQ720906 WVJ720906:WVM720906 B786442:E786442 IX786442:JA786442 ST786442:SW786442 ACP786442:ACS786442 AML786442:AMO786442 AWH786442:AWK786442 BGD786442:BGG786442 BPZ786442:BQC786442 BZV786442:BZY786442 CJR786442:CJU786442 CTN786442:CTQ786442 DDJ786442:DDM786442 DNF786442:DNI786442 DXB786442:DXE786442 EGX786442:EHA786442 EQT786442:EQW786442 FAP786442:FAS786442 FKL786442:FKO786442 FUH786442:FUK786442 GED786442:GEG786442 GNZ786442:GOC786442 GXV786442:GXY786442 HHR786442:HHU786442 HRN786442:HRQ786442 IBJ786442:IBM786442 ILF786442:ILI786442 IVB786442:IVE786442 JEX786442:JFA786442 JOT786442:JOW786442 JYP786442:JYS786442 KIL786442:KIO786442 KSH786442:KSK786442 LCD786442:LCG786442 LLZ786442:LMC786442 LVV786442:LVY786442 MFR786442:MFU786442 MPN786442:MPQ786442 MZJ786442:MZM786442 NJF786442:NJI786442 NTB786442:NTE786442 OCX786442:ODA786442 OMT786442:OMW786442 OWP786442:OWS786442 PGL786442:PGO786442 PQH786442:PQK786442 QAD786442:QAG786442 QJZ786442:QKC786442 QTV786442:QTY786442 RDR786442:RDU786442 RNN786442:RNQ786442 RXJ786442:RXM786442 SHF786442:SHI786442 SRB786442:SRE786442 TAX786442:TBA786442 TKT786442:TKW786442 TUP786442:TUS786442 UEL786442:UEO786442 UOH786442:UOK786442 UYD786442:UYG786442 VHZ786442:VIC786442 VRV786442:VRY786442 WBR786442:WBU786442 WLN786442:WLQ786442 WVJ786442:WVM786442 B851978:E851978 IX851978:JA851978 ST851978:SW851978 ACP851978:ACS851978 AML851978:AMO851978 AWH851978:AWK851978 BGD851978:BGG851978 BPZ851978:BQC851978 BZV851978:BZY851978 CJR851978:CJU851978 CTN851978:CTQ851978 DDJ851978:DDM851978 DNF851978:DNI851978 DXB851978:DXE851978 EGX851978:EHA851978 EQT851978:EQW851978 FAP851978:FAS851978 FKL851978:FKO851978 FUH851978:FUK851978 GED851978:GEG851978 GNZ851978:GOC851978 GXV851978:GXY851978 HHR851978:HHU851978 HRN851978:HRQ851978 IBJ851978:IBM851978 ILF851978:ILI851978 IVB851978:IVE851978 JEX851978:JFA851978 JOT851978:JOW851978 JYP851978:JYS851978 KIL851978:KIO851978 KSH851978:KSK851978 LCD851978:LCG851978 LLZ851978:LMC851978 LVV851978:LVY851978 MFR851978:MFU851978 MPN851978:MPQ851978 MZJ851978:MZM851978 NJF851978:NJI851978 NTB851978:NTE851978 OCX851978:ODA851978 OMT851978:OMW851978 OWP851978:OWS851978 PGL851978:PGO851978 PQH851978:PQK851978 QAD851978:QAG851978 QJZ851978:QKC851978 QTV851978:QTY851978 RDR851978:RDU851978 RNN851978:RNQ851978 RXJ851978:RXM851978 SHF851978:SHI851978 SRB851978:SRE851978 TAX851978:TBA851978 TKT851978:TKW851978 TUP851978:TUS851978 UEL851978:UEO851978 UOH851978:UOK851978 UYD851978:UYG851978 VHZ851978:VIC851978 VRV851978:VRY851978 WBR851978:WBU851978 WLN851978:WLQ851978 WVJ851978:WVM851978 B917514:E917514 IX917514:JA917514 ST917514:SW917514 ACP917514:ACS917514 AML917514:AMO917514 AWH917514:AWK917514 BGD917514:BGG917514 BPZ917514:BQC917514 BZV917514:BZY917514 CJR917514:CJU917514 CTN917514:CTQ917514 DDJ917514:DDM917514 DNF917514:DNI917514 DXB917514:DXE917514 EGX917514:EHA917514 EQT917514:EQW917514 FAP917514:FAS917514 FKL917514:FKO917514 FUH917514:FUK917514 GED917514:GEG917514 GNZ917514:GOC917514 GXV917514:GXY917514 HHR917514:HHU917514 HRN917514:HRQ917514 IBJ917514:IBM917514 ILF917514:ILI917514 IVB917514:IVE917514 JEX917514:JFA917514 JOT917514:JOW917514 JYP917514:JYS917514 KIL917514:KIO917514 KSH917514:KSK917514 LCD917514:LCG917514 LLZ917514:LMC917514 LVV917514:LVY917514 MFR917514:MFU917514 MPN917514:MPQ917514 MZJ917514:MZM917514 NJF917514:NJI917514 NTB917514:NTE917514 OCX917514:ODA917514 OMT917514:OMW917514 OWP917514:OWS917514 PGL917514:PGO917514 PQH917514:PQK917514 QAD917514:QAG917514 QJZ917514:QKC917514 QTV917514:QTY917514 RDR917514:RDU917514 RNN917514:RNQ917514 RXJ917514:RXM917514 SHF917514:SHI917514 SRB917514:SRE917514 TAX917514:TBA917514 TKT917514:TKW917514 TUP917514:TUS917514 UEL917514:UEO917514 UOH917514:UOK917514 UYD917514:UYG917514 VHZ917514:VIC917514 VRV917514:VRY917514 WBR917514:WBU917514 WLN917514:WLQ917514 WVJ917514:WVM917514 B983050:E983050 IX983050:JA983050 ST983050:SW983050 ACP983050:ACS983050 AML983050:AMO983050 AWH983050:AWK983050 BGD983050:BGG983050 BPZ983050:BQC983050 BZV983050:BZY983050 CJR983050:CJU983050 CTN983050:CTQ983050 DDJ983050:DDM983050 DNF983050:DNI983050 DXB983050:DXE983050 EGX983050:EHA983050 EQT983050:EQW983050 FAP983050:FAS983050 FKL983050:FKO983050 FUH983050:FUK983050 GED983050:GEG983050 GNZ983050:GOC983050 GXV983050:GXY983050 HHR983050:HHU983050 HRN983050:HRQ983050 IBJ983050:IBM983050 ILF983050:ILI983050 IVB983050:IVE983050 JEX983050:JFA983050 JOT983050:JOW983050 JYP983050:JYS983050 KIL983050:KIO983050 KSH983050:KSK983050 LCD983050:LCG983050 LLZ983050:LMC983050 LVV983050:LVY983050 MFR983050:MFU983050 MPN983050:MPQ983050 MZJ983050:MZM983050 NJF983050:NJI983050 NTB983050:NTE983050 OCX983050:ODA983050 OMT983050:OMW983050 OWP983050:OWS983050 PGL983050:PGO983050 PQH983050:PQK983050 QAD983050:QAG983050 QJZ983050:QKC983050 QTV983050:QTY983050 RDR983050:RDU983050 RNN983050:RNQ983050 RXJ983050:RXM983050 SHF983050:SHI983050 SRB983050:SRE983050 TAX983050:TBA983050 TKT983050:TKW983050 TUP983050:TUS983050 UEL983050:UEO983050 UOH983050:UOK983050 UYD983050:UYG983050 VHZ983050:VIC983050 VRV983050:VRY983050 WBR983050:WBU983050 WLN983050:WLQ983050 WVJ983050:WVM983050">
      <formula1>sigla_sn</formula1>
    </dataValidation>
    <dataValidation type="decimal" allowBlank="1" showInputMessage="1" showErrorMessage="1" errorTitle="ERRO" error="Digite a % da Nota em que se incide o ISS" promptTitle="COMO PREENCHER:" prompt="- DE 0% A 100% CONFORME APLICADO PELA PREFEITURA NA NOTA PARA MÃO DE OBRA!" sqref="B9:E9 IX9:JA9 ST9:SW9 ACP9:ACS9 AML9:AMO9 AWH9:AWK9 BGD9:BGG9 BPZ9:BQC9 BZV9:BZY9 CJR9:CJU9 CTN9:CTQ9 DDJ9:DDM9 DNF9:DNI9 DXB9:DXE9 EGX9:EHA9 EQT9:EQW9 FAP9:FAS9 FKL9:FKO9 FUH9:FUK9 GED9:GEG9 GNZ9:GOC9 GXV9:GXY9 HHR9:HHU9 HRN9:HRQ9 IBJ9:IBM9 ILF9:ILI9 IVB9:IVE9 JEX9:JFA9 JOT9:JOW9 JYP9:JYS9 KIL9:KIO9 KSH9:KSK9 LCD9:LCG9 LLZ9:LMC9 LVV9:LVY9 MFR9:MFU9 MPN9:MPQ9 MZJ9:MZM9 NJF9:NJI9 NTB9:NTE9 OCX9:ODA9 OMT9:OMW9 OWP9:OWS9 PGL9:PGO9 PQH9:PQK9 QAD9:QAG9 QJZ9:QKC9 QTV9:QTY9 RDR9:RDU9 RNN9:RNQ9 RXJ9:RXM9 SHF9:SHI9 SRB9:SRE9 TAX9:TBA9 TKT9:TKW9 TUP9:TUS9 UEL9:UEO9 UOH9:UOK9 UYD9:UYG9 VHZ9:VIC9 VRV9:VRY9 WBR9:WBU9 WLN9:WLQ9 WVJ9:WVM9 B65545:E65545 IX65545:JA65545 ST65545:SW65545 ACP65545:ACS65545 AML65545:AMO65545 AWH65545:AWK65545 BGD65545:BGG65545 BPZ65545:BQC65545 BZV65545:BZY65545 CJR65545:CJU65545 CTN65545:CTQ65545 DDJ65545:DDM65545 DNF65545:DNI65545 DXB65545:DXE65545 EGX65545:EHA65545 EQT65545:EQW65545 FAP65545:FAS65545 FKL65545:FKO65545 FUH65545:FUK65545 GED65545:GEG65545 GNZ65545:GOC65545 GXV65545:GXY65545 HHR65545:HHU65545 HRN65545:HRQ65545 IBJ65545:IBM65545 ILF65545:ILI65545 IVB65545:IVE65545 JEX65545:JFA65545 JOT65545:JOW65545 JYP65545:JYS65545 KIL65545:KIO65545 KSH65545:KSK65545 LCD65545:LCG65545 LLZ65545:LMC65545 LVV65545:LVY65545 MFR65545:MFU65545 MPN65545:MPQ65545 MZJ65545:MZM65545 NJF65545:NJI65545 NTB65545:NTE65545 OCX65545:ODA65545 OMT65545:OMW65545 OWP65545:OWS65545 PGL65545:PGO65545 PQH65545:PQK65545 QAD65545:QAG65545 QJZ65545:QKC65545 QTV65545:QTY65545 RDR65545:RDU65545 RNN65545:RNQ65545 RXJ65545:RXM65545 SHF65545:SHI65545 SRB65545:SRE65545 TAX65545:TBA65545 TKT65545:TKW65545 TUP65545:TUS65545 UEL65545:UEO65545 UOH65545:UOK65545 UYD65545:UYG65545 VHZ65545:VIC65545 VRV65545:VRY65545 WBR65545:WBU65545 WLN65545:WLQ65545 WVJ65545:WVM65545 B131081:E131081 IX131081:JA131081 ST131081:SW131081 ACP131081:ACS131081 AML131081:AMO131081 AWH131081:AWK131081 BGD131081:BGG131081 BPZ131081:BQC131081 BZV131081:BZY131081 CJR131081:CJU131081 CTN131081:CTQ131081 DDJ131081:DDM131081 DNF131081:DNI131081 DXB131081:DXE131081 EGX131081:EHA131081 EQT131081:EQW131081 FAP131081:FAS131081 FKL131081:FKO131081 FUH131081:FUK131081 GED131081:GEG131081 GNZ131081:GOC131081 GXV131081:GXY131081 HHR131081:HHU131081 HRN131081:HRQ131081 IBJ131081:IBM131081 ILF131081:ILI131081 IVB131081:IVE131081 JEX131081:JFA131081 JOT131081:JOW131081 JYP131081:JYS131081 KIL131081:KIO131081 KSH131081:KSK131081 LCD131081:LCG131081 LLZ131081:LMC131081 LVV131081:LVY131081 MFR131081:MFU131081 MPN131081:MPQ131081 MZJ131081:MZM131081 NJF131081:NJI131081 NTB131081:NTE131081 OCX131081:ODA131081 OMT131081:OMW131081 OWP131081:OWS131081 PGL131081:PGO131081 PQH131081:PQK131081 QAD131081:QAG131081 QJZ131081:QKC131081 QTV131081:QTY131081 RDR131081:RDU131081 RNN131081:RNQ131081 RXJ131081:RXM131081 SHF131081:SHI131081 SRB131081:SRE131081 TAX131081:TBA131081 TKT131081:TKW131081 TUP131081:TUS131081 UEL131081:UEO131081 UOH131081:UOK131081 UYD131081:UYG131081 VHZ131081:VIC131081 VRV131081:VRY131081 WBR131081:WBU131081 WLN131081:WLQ131081 WVJ131081:WVM131081 B196617:E196617 IX196617:JA196617 ST196617:SW196617 ACP196617:ACS196617 AML196617:AMO196617 AWH196617:AWK196617 BGD196617:BGG196617 BPZ196617:BQC196617 BZV196617:BZY196617 CJR196617:CJU196617 CTN196617:CTQ196617 DDJ196617:DDM196617 DNF196617:DNI196617 DXB196617:DXE196617 EGX196617:EHA196617 EQT196617:EQW196617 FAP196617:FAS196617 FKL196617:FKO196617 FUH196617:FUK196617 GED196617:GEG196617 GNZ196617:GOC196617 GXV196617:GXY196617 HHR196617:HHU196617 HRN196617:HRQ196617 IBJ196617:IBM196617 ILF196617:ILI196617 IVB196617:IVE196617 JEX196617:JFA196617 JOT196617:JOW196617 JYP196617:JYS196617 KIL196617:KIO196617 KSH196617:KSK196617 LCD196617:LCG196617 LLZ196617:LMC196617 LVV196617:LVY196617 MFR196617:MFU196617 MPN196617:MPQ196617 MZJ196617:MZM196617 NJF196617:NJI196617 NTB196617:NTE196617 OCX196617:ODA196617 OMT196617:OMW196617 OWP196617:OWS196617 PGL196617:PGO196617 PQH196617:PQK196617 QAD196617:QAG196617 QJZ196617:QKC196617 QTV196617:QTY196617 RDR196617:RDU196617 RNN196617:RNQ196617 RXJ196617:RXM196617 SHF196617:SHI196617 SRB196617:SRE196617 TAX196617:TBA196617 TKT196617:TKW196617 TUP196617:TUS196617 UEL196617:UEO196617 UOH196617:UOK196617 UYD196617:UYG196617 VHZ196617:VIC196617 VRV196617:VRY196617 WBR196617:WBU196617 WLN196617:WLQ196617 WVJ196617:WVM196617 B262153:E262153 IX262153:JA262153 ST262153:SW262153 ACP262153:ACS262153 AML262153:AMO262153 AWH262153:AWK262153 BGD262153:BGG262153 BPZ262153:BQC262153 BZV262153:BZY262153 CJR262153:CJU262153 CTN262153:CTQ262153 DDJ262153:DDM262153 DNF262153:DNI262153 DXB262153:DXE262153 EGX262153:EHA262153 EQT262153:EQW262153 FAP262153:FAS262153 FKL262153:FKO262153 FUH262153:FUK262153 GED262153:GEG262153 GNZ262153:GOC262153 GXV262153:GXY262153 HHR262153:HHU262153 HRN262153:HRQ262153 IBJ262153:IBM262153 ILF262153:ILI262153 IVB262153:IVE262153 JEX262153:JFA262153 JOT262153:JOW262153 JYP262153:JYS262153 KIL262153:KIO262153 KSH262153:KSK262153 LCD262153:LCG262153 LLZ262153:LMC262153 LVV262153:LVY262153 MFR262153:MFU262153 MPN262153:MPQ262153 MZJ262153:MZM262153 NJF262153:NJI262153 NTB262153:NTE262153 OCX262153:ODA262153 OMT262153:OMW262153 OWP262153:OWS262153 PGL262153:PGO262153 PQH262153:PQK262153 QAD262153:QAG262153 QJZ262153:QKC262153 QTV262153:QTY262153 RDR262153:RDU262153 RNN262153:RNQ262153 RXJ262153:RXM262153 SHF262153:SHI262153 SRB262153:SRE262153 TAX262153:TBA262153 TKT262153:TKW262153 TUP262153:TUS262153 UEL262153:UEO262153 UOH262153:UOK262153 UYD262153:UYG262153 VHZ262153:VIC262153 VRV262153:VRY262153 WBR262153:WBU262153 WLN262153:WLQ262153 WVJ262153:WVM262153 B327689:E327689 IX327689:JA327689 ST327689:SW327689 ACP327689:ACS327689 AML327689:AMO327689 AWH327689:AWK327689 BGD327689:BGG327689 BPZ327689:BQC327689 BZV327689:BZY327689 CJR327689:CJU327689 CTN327689:CTQ327689 DDJ327689:DDM327689 DNF327689:DNI327689 DXB327689:DXE327689 EGX327689:EHA327689 EQT327689:EQW327689 FAP327689:FAS327689 FKL327689:FKO327689 FUH327689:FUK327689 GED327689:GEG327689 GNZ327689:GOC327689 GXV327689:GXY327689 HHR327689:HHU327689 HRN327689:HRQ327689 IBJ327689:IBM327689 ILF327689:ILI327689 IVB327689:IVE327689 JEX327689:JFA327689 JOT327689:JOW327689 JYP327689:JYS327689 KIL327689:KIO327689 KSH327689:KSK327689 LCD327689:LCG327689 LLZ327689:LMC327689 LVV327689:LVY327689 MFR327689:MFU327689 MPN327689:MPQ327689 MZJ327689:MZM327689 NJF327689:NJI327689 NTB327689:NTE327689 OCX327689:ODA327689 OMT327689:OMW327689 OWP327689:OWS327689 PGL327689:PGO327689 PQH327689:PQK327689 QAD327689:QAG327689 QJZ327689:QKC327689 QTV327689:QTY327689 RDR327689:RDU327689 RNN327689:RNQ327689 RXJ327689:RXM327689 SHF327689:SHI327689 SRB327689:SRE327689 TAX327689:TBA327689 TKT327689:TKW327689 TUP327689:TUS327689 UEL327689:UEO327689 UOH327689:UOK327689 UYD327689:UYG327689 VHZ327689:VIC327689 VRV327689:VRY327689 WBR327689:WBU327689 WLN327689:WLQ327689 WVJ327689:WVM327689 B393225:E393225 IX393225:JA393225 ST393225:SW393225 ACP393225:ACS393225 AML393225:AMO393225 AWH393225:AWK393225 BGD393225:BGG393225 BPZ393225:BQC393225 BZV393225:BZY393225 CJR393225:CJU393225 CTN393225:CTQ393225 DDJ393225:DDM393225 DNF393225:DNI393225 DXB393225:DXE393225 EGX393225:EHA393225 EQT393225:EQW393225 FAP393225:FAS393225 FKL393225:FKO393225 FUH393225:FUK393225 GED393225:GEG393225 GNZ393225:GOC393225 GXV393225:GXY393225 HHR393225:HHU393225 HRN393225:HRQ393225 IBJ393225:IBM393225 ILF393225:ILI393225 IVB393225:IVE393225 JEX393225:JFA393225 JOT393225:JOW393225 JYP393225:JYS393225 KIL393225:KIO393225 KSH393225:KSK393225 LCD393225:LCG393225 LLZ393225:LMC393225 LVV393225:LVY393225 MFR393225:MFU393225 MPN393225:MPQ393225 MZJ393225:MZM393225 NJF393225:NJI393225 NTB393225:NTE393225 OCX393225:ODA393225 OMT393225:OMW393225 OWP393225:OWS393225 PGL393225:PGO393225 PQH393225:PQK393225 QAD393225:QAG393225 QJZ393225:QKC393225 QTV393225:QTY393225 RDR393225:RDU393225 RNN393225:RNQ393225 RXJ393225:RXM393225 SHF393225:SHI393225 SRB393225:SRE393225 TAX393225:TBA393225 TKT393225:TKW393225 TUP393225:TUS393225 UEL393225:UEO393225 UOH393225:UOK393225 UYD393225:UYG393225 VHZ393225:VIC393225 VRV393225:VRY393225 WBR393225:WBU393225 WLN393225:WLQ393225 WVJ393225:WVM393225 B458761:E458761 IX458761:JA458761 ST458761:SW458761 ACP458761:ACS458761 AML458761:AMO458761 AWH458761:AWK458761 BGD458761:BGG458761 BPZ458761:BQC458761 BZV458761:BZY458761 CJR458761:CJU458761 CTN458761:CTQ458761 DDJ458761:DDM458761 DNF458761:DNI458761 DXB458761:DXE458761 EGX458761:EHA458761 EQT458761:EQW458761 FAP458761:FAS458761 FKL458761:FKO458761 FUH458761:FUK458761 GED458761:GEG458761 GNZ458761:GOC458761 GXV458761:GXY458761 HHR458761:HHU458761 HRN458761:HRQ458761 IBJ458761:IBM458761 ILF458761:ILI458761 IVB458761:IVE458761 JEX458761:JFA458761 JOT458761:JOW458761 JYP458761:JYS458761 KIL458761:KIO458761 KSH458761:KSK458761 LCD458761:LCG458761 LLZ458761:LMC458761 LVV458761:LVY458761 MFR458761:MFU458761 MPN458761:MPQ458761 MZJ458761:MZM458761 NJF458761:NJI458761 NTB458761:NTE458761 OCX458761:ODA458761 OMT458761:OMW458761 OWP458761:OWS458761 PGL458761:PGO458761 PQH458761:PQK458761 QAD458761:QAG458761 QJZ458761:QKC458761 QTV458761:QTY458761 RDR458761:RDU458761 RNN458761:RNQ458761 RXJ458761:RXM458761 SHF458761:SHI458761 SRB458761:SRE458761 TAX458761:TBA458761 TKT458761:TKW458761 TUP458761:TUS458761 UEL458761:UEO458761 UOH458761:UOK458761 UYD458761:UYG458761 VHZ458761:VIC458761 VRV458761:VRY458761 WBR458761:WBU458761 WLN458761:WLQ458761 WVJ458761:WVM458761 B524297:E524297 IX524297:JA524297 ST524297:SW524297 ACP524297:ACS524297 AML524297:AMO524297 AWH524297:AWK524297 BGD524297:BGG524297 BPZ524297:BQC524297 BZV524297:BZY524297 CJR524297:CJU524297 CTN524297:CTQ524297 DDJ524297:DDM524297 DNF524297:DNI524297 DXB524297:DXE524297 EGX524297:EHA524297 EQT524297:EQW524297 FAP524297:FAS524297 FKL524297:FKO524297 FUH524297:FUK524297 GED524297:GEG524297 GNZ524297:GOC524297 GXV524297:GXY524297 HHR524297:HHU524297 HRN524297:HRQ524297 IBJ524297:IBM524297 ILF524297:ILI524297 IVB524297:IVE524297 JEX524297:JFA524297 JOT524297:JOW524297 JYP524297:JYS524297 KIL524297:KIO524297 KSH524297:KSK524297 LCD524297:LCG524297 LLZ524297:LMC524297 LVV524297:LVY524297 MFR524297:MFU524297 MPN524297:MPQ524297 MZJ524297:MZM524297 NJF524297:NJI524297 NTB524297:NTE524297 OCX524297:ODA524297 OMT524297:OMW524297 OWP524297:OWS524297 PGL524297:PGO524297 PQH524297:PQK524297 QAD524297:QAG524297 QJZ524297:QKC524297 QTV524297:QTY524297 RDR524297:RDU524297 RNN524297:RNQ524297 RXJ524297:RXM524297 SHF524297:SHI524297 SRB524297:SRE524297 TAX524297:TBA524297 TKT524297:TKW524297 TUP524297:TUS524297 UEL524297:UEO524297 UOH524297:UOK524297 UYD524297:UYG524297 VHZ524297:VIC524297 VRV524297:VRY524297 WBR524297:WBU524297 WLN524297:WLQ524297 WVJ524297:WVM524297 B589833:E589833 IX589833:JA589833 ST589833:SW589833 ACP589833:ACS589833 AML589833:AMO589833 AWH589833:AWK589833 BGD589833:BGG589833 BPZ589833:BQC589833 BZV589833:BZY589833 CJR589833:CJU589833 CTN589833:CTQ589833 DDJ589833:DDM589833 DNF589833:DNI589833 DXB589833:DXE589833 EGX589833:EHA589833 EQT589833:EQW589833 FAP589833:FAS589833 FKL589833:FKO589833 FUH589833:FUK589833 GED589833:GEG589833 GNZ589833:GOC589833 GXV589833:GXY589833 HHR589833:HHU589833 HRN589833:HRQ589833 IBJ589833:IBM589833 ILF589833:ILI589833 IVB589833:IVE589833 JEX589833:JFA589833 JOT589833:JOW589833 JYP589833:JYS589833 KIL589833:KIO589833 KSH589833:KSK589833 LCD589833:LCG589833 LLZ589833:LMC589833 LVV589833:LVY589833 MFR589833:MFU589833 MPN589833:MPQ589833 MZJ589833:MZM589833 NJF589833:NJI589833 NTB589833:NTE589833 OCX589833:ODA589833 OMT589833:OMW589833 OWP589833:OWS589833 PGL589833:PGO589833 PQH589833:PQK589833 QAD589833:QAG589833 QJZ589833:QKC589833 QTV589833:QTY589833 RDR589833:RDU589833 RNN589833:RNQ589833 RXJ589833:RXM589833 SHF589833:SHI589833 SRB589833:SRE589833 TAX589833:TBA589833 TKT589833:TKW589833 TUP589833:TUS589833 UEL589833:UEO589833 UOH589833:UOK589833 UYD589833:UYG589833 VHZ589833:VIC589833 VRV589833:VRY589833 WBR589833:WBU589833 WLN589833:WLQ589833 WVJ589833:WVM589833 B655369:E655369 IX655369:JA655369 ST655369:SW655369 ACP655369:ACS655369 AML655369:AMO655369 AWH655369:AWK655369 BGD655369:BGG655369 BPZ655369:BQC655369 BZV655369:BZY655369 CJR655369:CJU655369 CTN655369:CTQ655369 DDJ655369:DDM655369 DNF655369:DNI655369 DXB655369:DXE655369 EGX655369:EHA655369 EQT655369:EQW655369 FAP655369:FAS655369 FKL655369:FKO655369 FUH655369:FUK655369 GED655369:GEG655369 GNZ655369:GOC655369 GXV655369:GXY655369 HHR655369:HHU655369 HRN655369:HRQ655369 IBJ655369:IBM655369 ILF655369:ILI655369 IVB655369:IVE655369 JEX655369:JFA655369 JOT655369:JOW655369 JYP655369:JYS655369 KIL655369:KIO655369 KSH655369:KSK655369 LCD655369:LCG655369 LLZ655369:LMC655369 LVV655369:LVY655369 MFR655369:MFU655369 MPN655369:MPQ655369 MZJ655369:MZM655369 NJF655369:NJI655369 NTB655369:NTE655369 OCX655369:ODA655369 OMT655369:OMW655369 OWP655369:OWS655369 PGL655369:PGO655369 PQH655369:PQK655369 QAD655369:QAG655369 QJZ655369:QKC655369 QTV655369:QTY655369 RDR655369:RDU655369 RNN655369:RNQ655369 RXJ655369:RXM655369 SHF655369:SHI655369 SRB655369:SRE655369 TAX655369:TBA655369 TKT655369:TKW655369 TUP655369:TUS655369 UEL655369:UEO655369 UOH655369:UOK655369 UYD655369:UYG655369 VHZ655369:VIC655369 VRV655369:VRY655369 WBR655369:WBU655369 WLN655369:WLQ655369 WVJ655369:WVM655369 B720905:E720905 IX720905:JA720905 ST720905:SW720905 ACP720905:ACS720905 AML720905:AMO720905 AWH720905:AWK720905 BGD720905:BGG720905 BPZ720905:BQC720905 BZV720905:BZY720905 CJR720905:CJU720905 CTN720905:CTQ720905 DDJ720905:DDM720905 DNF720905:DNI720905 DXB720905:DXE720905 EGX720905:EHA720905 EQT720905:EQW720905 FAP720905:FAS720905 FKL720905:FKO720905 FUH720905:FUK720905 GED720905:GEG720905 GNZ720905:GOC720905 GXV720905:GXY720905 HHR720905:HHU720905 HRN720905:HRQ720905 IBJ720905:IBM720905 ILF720905:ILI720905 IVB720905:IVE720905 JEX720905:JFA720905 JOT720905:JOW720905 JYP720905:JYS720905 KIL720905:KIO720905 KSH720905:KSK720905 LCD720905:LCG720905 LLZ720905:LMC720905 LVV720905:LVY720905 MFR720905:MFU720905 MPN720905:MPQ720905 MZJ720905:MZM720905 NJF720905:NJI720905 NTB720905:NTE720905 OCX720905:ODA720905 OMT720905:OMW720905 OWP720905:OWS720905 PGL720905:PGO720905 PQH720905:PQK720905 QAD720905:QAG720905 QJZ720905:QKC720905 QTV720905:QTY720905 RDR720905:RDU720905 RNN720905:RNQ720905 RXJ720905:RXM720905 SHF720905:SHI720905 SRB720905:SRE720905 TAX720905:TBA720905 TKT720905:TKW720905 TUP720905:TUS720905 UEL720905:UEO720905 UOH720905:UOK720905 UYD720905:UYG720905 VHZ720905:VIC720905 VRV720905:VRY720905 WBR720905:WBU720905 WLN720905:WLQ720905 WVJ720905:WVM720905 B786441:E786441 IX786441:JA786441 ST786441:SW786441 ACP786441:ACS786441 AML786441:AMO786441 AWH786441:AWK786441 BGD786441:BGG786441 BPZ786441:BQC786441 BZV786441:BZY786441 CJR786441:CJU786441 CTN786441:CTQ786441 DDJ786441:DDM786441 DNF786441:DNI786441 DXB786441:DXE786441 EGX786441:EHA786441 EQT786441:EQW786441 FAP786441:FAS786441 FKL786441:FKO786441 FUH786441:FUK786441 GED786441:GEG786441 GNZ786441:GOC786441 GXV786441:GXY786441 HHR786441:HHU786441 HRN786441:HRQ786441 IBJ786441:IBM786441 ILF786441:ILI786441 IVB786441:IVE786441 JEX786441:JFA786441 JOT786441:JOW786441 JYP786441:JYS786441 KIL786441:KIO786441 KSH786441:KSK786441 LCD786441:LCG786441 LLZ786441:LMC786441 LVV786441:LVY786441 MFR786441:MFU786441 MPN786441:MPQ786441 MZJ786441:MZM786441 NJF786441:NJI786441 NTB786441:NTE786441 OCX786441:ODA786441 OMT786441:OMW786441 OWP786441:OWS786441 PGL786441:PGO786441 PQH786441:PQK786441 QAD786441:QAG786441 QJZ786441:QKC786441 QTV786441:QTY786441 RDR786441:RDU786441 RNN786441:RNQ786441 RXJ786441:RXM786441 SHF786441:SHI786441 SRB786441:SRE786441 TAX786441:TBA786441 TKT786441:TKW786441 TUP786441:TUS786441 UEL786441:UEO786441 UOH786441:UOK786441 UYD786441:UYG786441 VHZ786441:VIC786441 VRV786441:VRY786441 WBR786441:WBU786441 WLN786441:WLQ786441 WVJ786441:WVM786441 B851977:E851977 IX851977:JA851977 ST851977:SW851977 ACP851977:ACS851977 AML851977:AMO851977 AWH851977:AWK851977 BGD851977:BGG851977 BPZ851977:BQC851977 BZV851977:BZY851977 CJR851977:CJU851977 CTN851977:CTQ851977 DDJ851977:DDM851977 DNF851977:DNI851977 DXB851977:DXE851977 EGX851977:EHA851977 EQT851977:EQW851977 FAP851977:FAS851977 FKL851977:FKO851977 FUH851977:FUK851977 GED851977:GEG851977 GNZ851977:GOC851977 GXV851977:GXY851977 HHR851977:HHU851977 HRN851977:HRQ851977 IBJ851977:IBM851977 ILF851977:ILI851977 IVB851977:IVE851977 JEX851977:JFA851977 JOT851977:JOW851977 JYP851977:JYS851977 KIL851977:KIO851977 KSH851977:KSK851977 LCD851977:LCG851977 LLZ851977:LMC851977 LVV851977:LVY851977 MFR851977:MFU851977 MPN851977:MPQ851977 MZJ851977:MZM851977 NJF851977:NJI851977 NTB851977:NTE851977 OCX851977:ODA851977 OMT851977:OMW851977 OWP851977:OWS851977 PGL851977:PGO851977 PQH851977:PQK851977 QAD851977:QAG851977 QJZ851977:QKC851977 QTV851977:QTY851977 RDR851977:RDU851977 RNN851977:RNQ851977 RXJ851977:RXM851977 SHF851977:SHI851977 SRB851977:SRE851977 TAX851977:TBA851977 TKT851977:TKW851977 TUP851977:TUS851977 UEL851977:UEO851977 UOH851977:UOK851977 UYD851977:UYG851977 VHZ851977:VIC851977 VRV851977:VRY851977 WBR851977:WBU851977 WLN851977:WLQ851977 WVJ851977:WVM851977 B917513:E917513 IX917513:JA917513 ST917513:SW917513 ACP917513:ACS917513 AML917513:AMO917513 AWH917513:AWK917513 BGD917513:BGG917513 BPZ917513:BQC917513 BZV917513:BZY917513 CJR917513:CJU917513 CTN917513:CTQ917513 DDJ917513:DDM917513 DNF917513:DNI917513 DXB917513:DXE917513 EGX917513:EHA917513 EQT917513:EQW917513 FAP917513:FAS917513 FKL917513:FKO917513 FUH917513:FUK917513 GED917513:GEG917513 GNZ917513:GOC917513 GXV917513:GXY917513 HHR917513:HHU917513 HRN917513:HRQ917513 IBJ917513:IBM917513 ILF917513:ILI917513 IVB917513:IVE917513 JEX917513:JFA917513 JOT917513:JOW917513 JYP917513:JYS917513 KIL917513:KIO917513 KSH917513:KSK917513 LCD917513:LCG917513 LLZ917513:LMC917513 LVV917513:LVY917513 MFR917513:MFU917513 MPN917513:MPQ917513 MZJ917513:MZM917513 NJF917513:NJI917513 NTB917513:NTE917513 OCX917513:ODA917513 OMT917513:OMW917513 OWP917513:OWS917513 PGL917513:PGO917513 PQH917513:PQK917513 QAD917513:QAG917513 QJZ917513:QKC917513 QTV917513:QTY917513 RDR917513:RDU917513 RNN917513:RNQ917513 RXJ917513:RXM917513 SHF917513:SHI917513 SRB917513:SRE917513 TAX917513:TBA917513 TKT917513:TKW917513 TUP917513:TUS917513 UEL917513:UEO917513 UOH917513:UOK917513 UYD917513:UYG917513 VHZ917513:VIC917513 VRV917513:VRY917513 WBR917513:WBU917513 WLN917513:WLQ917513 WVJ917513:WVM917513 B983049:E983049 IX983049:JA983049 ST983049:SW983049 ACP983049:ACS983049 AML983049:AMO983049 AWH983049:AWK983049 BGD983049:BGG983049 BPZ983049:BQC983049 BZV983049:BZY983049 CJR983049:CJU983049 CTN983049:CTQ983049 DDJ983049:DDM983049 DNF983049:DNI983049 DXB983049:DXE983049 EGX983049:EHA983049 EQT983049:EQW983049 FAP983049:FAS983049 FKL983049:FKO983049 FUH983049:FUK983049 GED983049:GEG983049 GNZ983049:GOC983049 GXV983049:GXY983049 HHR983049:HHU983049 HRN983049:HRQ983049 IBJ983049:IBM983049 ILF983049:ILI983049 IVB983049:IVE983049 JEX983049:JFA983049 JOT983049:JOW983049 JYP983049:JYS983049 KIL983049:KIO983049 KSH983049:KSK983049 LCD983049:LCG983049 LLZ983049:LMC983049 LVV983049:LVY983049 MFR983049:MFU983049 MPN983049:MPQ983049 MZJ983049:MZM983049 NJF983049:NJI983049 NTB983049:NTE983049 OCX983049:ODA983049 OMT983049:OMW983049 OWP983049:OWS983049 PGL983049:PGO983049 PQH983049:PQK983049 QAD983049:QAG983049 QJZ983049:QKC983049 QTV983049:QTY983049 RDR983049:RDU983049 RNN983049:RNQ983049 RXJ983049:RXM983049 SHF983049:SHI983049 SRB983049:SRE983049 TAX983049:TBA983049 TKT983049:TKW983049 TUP983049:TUS983049 UEL983049:UEO983049 UOH983049:UOK983049 UYD983049:UYG983049 VHZ983049:VIC983049 VRV983049:VRY983049 WBR983049:WBU983049 WLN983049:WLQ983049 WVJ983049:WVM983049">
      <formula1>0</formula1>
      <formula2>1</formula2>
    </dataValidation>
    <dataValidation type="list" allowBlank="1" showInputMessage="1" showErrorMessage="1" errorTitle="ERRO" error="ESCOLHA ENTRE OS TIPOS DE OBRA ESPECIFICADOS !" sqref="B8:E8 IX8:JA8 ST8:SW8 ACP8:ACS8 AML8:AMO8 AWH8:AWK8 BGD8:BGG8 BPZ8:BQC8 BZV8:BZY8 CJR8:CJU8 CTN8:CTQ8 DDJ8:DDM8 DNF8:DNI8 DXB8:DXE8 EGX8:EHA8 EQT8:EQW8 FAP8:FAS8 FKL8:FKO8 FUH8:FUK8 GED8:GEG8 GNZ8:GOC8 GXV8:GXY8 HHR8:HHU8 HRN8:HRQ8 IBJ8:IBM8 ILF8:ILI8 IVB8:IVE8 JEX8:JFA8 JOT8:JOW8 JYP8:JYS8 KIL8:KIO8 KSH8:KSK8 LCD8:LCG8 LLZ8:LMC8 LVV8:LVY8 MFR8:MFU8 MPN8:MPQ8 MZJ8:MZM8 NJF8:NJI8 NTB8:NTE8 OCX8:ODA8 OMT8:OMW8 OWP8:OWS8 PGL8:PGO8 PQH8:PQK8 QAD8:QAG8 QJZ8:QKC8 QTV8:QTY8 RDR8:RDU8 RNN8:RNQ8 RXJ8:RXM8 SHF8:SHI8 SRB8:SRE8 TAX8:TBA8 TKT8:TKW8 TUP8:TUS8 UEL8:UEO8 UOH8:UOK8 UYD8:UYG8 VHZ8:VIC8 VRV8:VRY8 WBR8:WBU8 WLN8:WLQ8 WVJ8:WVM8 B65544:E65544 IX65544:JA65544 ST65544:SW65544 ACP65544:ACS65544 AML65544:AMO65544 AWH65544:AWK65544 BGD65544:BGG65544 BPZ65544:BQC65544 BZV65544:BZY65544 CJR65544:CJU65544 CTN65544:CTQ65544 DDJ65544:DDM65544 DNF65544:DNI65544 DXB65544:DXE65544 EGX65544:EHA65544 EQT65544:EQW65544 FAP65544:FAS65544 FKL65544:FKO65544 FUH65544:FUK65544 GED65544:GEG65544 GNZ65544:GOC65544 GXV65544:GXY65544 HHR65544:HHU65544 HRN65544:HRQ65544 IBJ65544:IBM65544 ILF65544:ILI65544 IVB65544:IVE65544 JEX65544:JFA65544 JOT65544:JOW65544 JYP65544:JYS65544 KIL65544:KIO65544 KSH65544:KSK65544 LCD65544:LCG65544 LLZ65544:LMC65544 LVV65544:LVY65544 MFR65544:MFU65544 MPN65544:MPQ65544 MZJ65544:MZM65544 NJF65544:NJI65544 NTB65544:NTE65544 OCX65544:ODA65544 OMT65544:OMW65544 OWP65544:OWS65544 PGL65544:PGO65544 PQH65544:PQK65544 QAD65544:QAG65544 QJZ65544:QKC65544 QTV65544:QTY65544 RDR65544:RDU65544 RNN65544:RNQ65544 RXJ65544:RXM65544 SHF65544:SHI65544 SRB65544:SRE65544 TAX65544:TBA65544 TKT65544:TKW65544 TUP65544:TUS65544 UEL65544:UEO65544 UOH65544:UOK65544 UYD65544:UYG65544 VHZ65544:VIC65544 VRV65544:VRY65544 WBR65544:WBU65544 WLN65544:WLQ65544 WVJ65544:WVM65544 B131080:E131080 IX131080:JA131080 ST131080:SW131080 ACP131080:ACS131080 AML131080:AMO131080 AWH131080:AWK131080 BGD131080:BGG131080 BPZ131080:BQC131080 BZV131080:BZY131080 CJR131080:CJU131080 CTN131080:CTQ131080 DDJ131080:DDM131080 DNF131080:DNI131080 DXB131080:DXE131080 EGX131080:EHA131080 EQT131080:EQW131080 FAP131080:FAS131080 FKL131080:FKO131080 FUH131080:FUK131080 GED131080:GEG131080 GNZ131080:GOC131080 GXV131080:GXY131080 HHR131080:HHU131080 HRN131080:HRQ131080 IBJ131080:IBM131080 ILF131080:ILI131080 IVB131080:IVE131080 JEX131080:JFA131080 JOT131080:JOW131080 JYP131080:JYS131080 KIL131080:KIO131080 KSH131080:KSK131080 LCD131080:LCG131080 LLZ131080:LMC131080 LVV131080:LVY131080 MFR131080:MFU131080 MPN131080:MPQ131080 MZJ131080:MZM131080 NJF131080:NJI131080 NTB131080:NTE131080 OCX131080:ODA131080 OMT131080:OMW131080 OWP131080:OWS131080 PGL131080:PGO131080 PQH131080:PQK131080 QAD131080:QAG131080 QJZ131080:QKC131080 QTV131080:QTY131080 RDR131080:RDU131080 RNN131080:RNQ131080 RXJ131080:RXM131080 SHF131080:SHI131080 SRB131080:SRE131080 TAX131080:TBA131080 TKT131080:TKW131080 TUP131080:TUS131080 UEL131080:UEO131080 UOH131080:UOK131080 UYD131080:UYG131080 VHZ131080:VIC131080 VRV131080:VRY131080 WBR131080:WBU131080 WLN131080:WLQ131080 WVJ131080:WVM131080 B196616:E196616 IX196616:JA196616 ST196616:SW196616 ACP196616:ACS196616 AML196616:AMO196616 AWH196616:AWK196616 BGD196616:BGG196616 BPZ196616:BQC196616 BZV196616:BZY196616 CJR196616:CJU196616 CTN196616:CTQ196616 DDJ196616:DDM196616 DNF196616:DNI196616 DXB196616:DXE196616 EGX196616:EHA196616 EQT196616:EQW196616 FAP196616:FAS196616 FKL196616:FKO196616 FUH196616:FUK196616 GED196616:GEG196616 GNZ196616:GOC196616 GXV196616:GXY196616 HHR196616:HHU196616 HRN196616:HRQ196616 IBJ196616:IBM196616 ILF196616:ILI196616 IVB196616:IVE196616 JEX196616:JFA196616 JOT196616:JOW196616 JYP196616:JYS196616 KIL196616:KIO196616 KSH196616:KSK196616 LCD196616:LCG196616 LLZ196616:LMC196616 LVV196616:LVY196616 MFR196616:MFU196616 MPN196616:MPQ196616 MZJ196616:MZM196616 NJF196616:NJI196616 NTB196616:NTE196616 OCX196616:ODA196616 OMT196616:OMW196616 OWP196616:OWS196616 PGL196616:PGO196616 PQH196616:PQK196616 QAD196616:QAG196616 QJZ196616:QKC196616 QTV196616:QTY196616 RDR196616:RDU196616 RNN196616:RNQ196616 RXJ196616:RXM196616 SHF196616:SHI196616 SRB196616:SRE196616 TAX196616:TBA196616 TKT196616:TKW196616 TUP196616:TUS196616 UEL196616:UEO196616 UOH196616:UOK196616 UYD196616:UYG196616 VHZ196616:VIC196616 VRV196616:VRY196616 WBR196616:WBU196616 WLN196616:WLQ196616 WVJ196616:WVM196616 B262152:E262152 IX262152:JA262152 ST262152:SW262152 ACP262152:ACS262152 AML262152:AMO262152 AWH262152:AWK262152 BGD262152:BGG262152 BPZ262152:BQC262152 BZV262152:BZY262152 CJR262152:CJU262152 CTN262152:CTQ262152 DDJ262152:DDM262152 DNF262152:DNI262152 DXB262152:DXE262152 EGX262152:EHA262152 EQT262152:EQW262152 FAP262152:FAS262152 FKL262152:FKO262152 FUH262152:FUK262152 GED262152:GEG262152 GNZ262152:GOC262152 GXV262152:GXY262152 HHR262152:HHU262152 HRN262152:HRQ262152 IBJ262152:IBM262152 ILF262152:ILI262152 IVB262152:IVE262152 JEX262152:JFA262152 JOT262152:JOW262152 JYP262152:JYS262152 KIL262152:KIO262152 KSH262152:KSK262152 LCD262152:LCG262152 LLZ262152:LMC262152 LVV262152:LVY262152 MFR262152:MFU262152 MPN262152:MPQ262152 MZJ262152:MZM262152 NJF262152:NJI262152 NTB262152:NTE262152 OCX262152:ODA262152 OMT262152:OMW262152 OWP262152:OWS262152 PGL262152:PGO262152 PQH262152:PQK262152 QAD262152:QAG262152 QJZ262152:QKC262152 QTV262152:QTY262152 RDR262152:RDU262152 RNN262152:RNQ262152 RXJ262152:RXM262152 SHF262152:SHI262152 SRB262152:SRE262152 TAX262152:TBA262152 TKT262152:TKW262152 TUP262152:TUS262152 UEL262152:UEO262152 UOH262152:UOK262152 UYD262152:UYG262152 VHZ262152:VIC262152 VRV262152:VRY262152 WBR262152:WBU262152 WLN262152:WLQ262152 WVJ262152:WVM262152 B327688:E327688 IX327688:JA327688 ST327688:SW327688 ACP327688:ACS327688 AML327688:AMO327688 AWH327688:AWK327688 BGD327688:BGG327688 BPZ327688:BQC327688 BZV327688:BZY327688 CJR327688:CJU327688 CTN327688:CTQ327688 DDJ327688:DDM327688 DNF327688:DNI327688 DXB327688:DXE327688 EGX327688:EHA327688 EQT327688:EQW327688 FAP327688:FAS327688 FKL327688:FKO327688 FUH327688:FUK327688 GED327688:GEG327688 GNZ327688:GOC327688 GXV327688:GXY327688 HHR327688:HHU327688 HRN327688:HRQ327688 IBJ327688:IBM327688 ILF327688:ILI327688 IVB327688:IVE327688 JEX327688:JFA327688 JOT327688:JOW327688 JYP327688:JYS327688 KIL327688:KIO327688 KSH327688:KSK327688 LCD327688:LCG327688 LLZ327688:LMC327688 LVV327688:LVY327688 MFR327688:MFU327688 MPN327688:MPQ327688 MZJ327688:MZM327688 NJF327688:NJI327688 NTB327688:NTE327688 OCX327688:ODA327688 OMT327688:OMW327688 OWP327688:OWS327688 PGL327688:PGO327688 PQH327688:PQK327688 QAD327688:QAG327688 QJZ327688:QKC327688 QTV327688:QTY327688 RDR327688:RDU327688 RNN327688:RNQ327688 RXJ327688:RXM327688 SHF327688:SHI327688 SRB327688:SRE327688 TAX327688:TBA327688 TKT327688:TKW327688 TUP327688:TUS327688 UEL327688:UEO327688 UOH327688:UOK327688 UYD327688:UYG327688 VHZ327688:VIC327688 VRV327688:VRY327688 WBR327688:WBU327688 WLN327688:WLQ327688 WVJ327688:WVM327688 B393224:E393224 IX393224:JA393224 ST393224:SW393224 ACP393224:ACS393224 AML393224:AMO393224 AWH393224:AWK393224 BGD393224:BGG393224 BPZ393224:BQC393224 BZV393224:BZY393224 CJR393224:CJU393224 CTN393224:CTQ393224 DDJ393224:DDM393224 DNF393224:DNI393224 DXB393224:DXE393224 EGX393224:EHA393224 EQT393224:EQW393224 FAP393224:FAS393224 FKL393224:FKO393224 FUH393224:FUK393224 GED393224:GEG393224 GNZ393224:GOC393224 GXV393224:GXY393224 HHR393224:HHU393224 HRN393224:HRQ393224 IBJ393224:IBM393224 ILF393224:ILI393224 IVB393224:IVE393224 JEX393224:JFA393224 JOT393224:JOW393224 JYP393224:JYS393224 KIL393224:KIO393224 KSH393224:KSK393224 LCD393224:LCG393224 LLZ393224:LMC393224 LVV393224:LVY393224 MFR393224:MFU393224 MPN393224:MPQ393224 MZJ393224:MZM393224 NJF393224:NJI393224 NTB393224:NTE393224 OCX393224:ODA393224 OMT393224:OMW393224 OWP393224:OWS393224 PGL393224:PGO393224 PQH393224:PQK393224 QAD393224:QAG393224 QJZ393224:QKC393224 QTV393224:QTY393224 RDR393224:RDU393224 RNN393224:RNQ393224 RXJ393224:RXM393224 SHF393224:SHI393224 SRB393224:SRE393224 TAX393224:TBA393224 TKT393224:TKW393224 TUP393224:TUS393224 UEL393224:UEO393224 UOH393224:UOK393224 UYD393224:UYG393224 VHZ393224:VIC393224 VRV393224:VRY393224 WBR393224:WBU393224 WLN393224:WLQ393224 WVJ393224:WVM393224 B458760:E458760 IX458760:JA458760 ST458760:SW458760 ACP458760:ACS458760 AML458760:AMO458760 AWH458760:AWK458760 BGD458760:BGG458760 BPZ458760:BQC458760 BZV458760:BZY458760 CJR458760:CJU458760 CTN458760:CTQ458760 DDJ458760:DDM458760 DNF458760:DNI458760 DXB458760:DXE458760 EGX458760:EHA458760 EQT458760:EQW458760 FAP458760:FAS458760 FKL458760:FKO458760 FUH458760:FUK458760 GED458760:GEG458760 GNZ458760:GOC458760 GXV458760:GXY458760 HHR458760:HHU458760 HRN458760:HRQ458760 IBJ458760:IBM458760 ILF458760:ILI458760 IVB458760:IVE458760 JEX458760:JFA458760 JOT458760:JOW458760 JYP458760:JYS458760 KIL458760:KIO458760 KSH458760:KSK458760 LCD458760:LCG458760 LLZ458760:LMC458760 LVV458760:LVY458760 MFR458760:MFU458760 MPN458760:MPQ458760 MZJ458760:MZM458760 NJF458760:NJI458760 NTB458760:NTE458760 OCX458760:ODA458760 OMT458760:OMW458760 OWP458760:OWS458760 PGL458760:PGO458760 PQH458760:PQK458760 QAD458760:QAG458760 QJZ458760:QKC458760 QTV458760:QTY458760 RDR458760:RDU458760 RNN458760:RNQ458760 RXJ458760:RXM458760 SHF458760:SHI458760 SRB458760:SRE458760 TAX458760:TBA458760 TKT458760:TKW458760 TUP458760:TUS458760 UEL458760:UEO458760 UOH458760:UOK458760 UYD458760:UYG458760 VHZ458760:VIC458760 VRV458760:VRY458760 WBR458760:WBU458760 WLN458760:WLQ458760 WVJ458760:WVM458760 B524296:E524296 IX524296:JA524296 ST524296:SW524296 ACP524296:ACS524296 AML524296:AMO524296 AWH524296:AWK524296 BGD524296:BGG524296 BPZ524296:BQC524296 BZV524296:BZY524296 CJR524296:CJU524296 CTN524296:CTQ524296 DDJ524296:DDM524296 DNF524296:DNI524296 DXB524296:DXE524296 EGX524296:EHA524296 EQT524296:EQW524296 FAP524296:FAS524296 FKL524296:FKO524296 FUH524296:FUK524296 GED524296:GEG524296 GNZ524296:GOC524296 GXV524296:GXY524296 HHR524296:HHU524296 HRN524296:HRQ524296 IBJ524296:IBM524296 ILF524296:ILI524296 IVB524296:IVE524296 JEX524296:JFA524296 JOT524296:JOW524296 JYP524296:JYS524296 KIL524296:KIO524296 KSH524296:KSK524296 LCD524296:LCG524296 LLZ524296:LMC524296 LVV524296:LVY524296 MFR524296:MFU524296 MPN524296:MPQ524296 MZJ524296:MZM524296 NJF524296:NJI524296 NTB524296:NTE524296 OCX524296:ODA524296 OMT524296:OMW524296 OWP524296:OWS524296 PGL524296:PGO524296 PQH524296:PQK524296 QAD524296:QAG524296 QJZ524296:QKC524296 QTV524296:QTY524296 RDR524296:RDU524296 RNN524296:RNQ524296 RXJ524296:RXM524296 SHF524296:SHI524296 SRB524296:SRE524296 TAX524296:TBA524296 TKT524296:TKW524296 TUP524296:TUS524296 UEL524296:UEO524296 UOH524296:UOK524296 UYD524296:UYG524296 VHZ524296:VIC524296 VRV524296:VRY524296 WBR524296:WBU524296 WLN524296:WLQ524296 WVJ524296:WVM524296 B589832:E589832 IX589832:JA589832 ST589832:SW589832 ACP589832:ACS589832 AML589832:AMO589832 AWH589832:AWK589832 BGD589832:BGG589832 BPZ589832:BQC589832 BZV589832:BZY589832 CJR589832:CJU589832 CTN589832:CTQ589832 DDJ589832:DDM589832 DNF589832:DNI589832 DXB589832:DXE589832 EGX589832:EHA589832 EQT589832:EQW589832 FAP589832:FAS589832 FKL589832:FKO589832 FUH589832:FUK589832 GED589832:GEG589832 GNZ589832:GOC589832 GXV589832:GXY589832 HHR589832:HHU589832 HRN589832:HRQ589832 IBJ589832:IBM589832 ILF589832:ILI589832 IVB589832:IVE589832 JEX589832:JFA589832 JOT589832:JOW589832 JYP589832:JYS589832 KIL589832:KIO589832 KSH589832:KSK589832 LCD589832:LCG589832 LLZ589832:LMC589832 LVV589832:LVY589832 MFR589832:MFU589832 MPN589832:MPQ589832 MZJ589832:MZM589832 NJF589832:NJI589832 NTB589832:NTE589832 OCX589832:ODA589832 OMT589832:OMW589832 OWP589832:OWS589832 PGL589832:PGO589832 PQH589832:PQK589832 QAD589832:QAG589832 QJZ589832:QKC589832 QTV589832:QTY589832 RDR589832:RDU589832 RNN589832:RNQ589832 RXJ589832:RXM589832 SHF589832:SHI589832 SRB589832:SRE589832 TAX589832:TBA589832 TKT589832:TKW589832 TUP589832:TUS589832 UEL589832:UEO589832 UOH589832:UOK589832 UYD589832:UYG589832 VHZ589832:VIC589832 VRV589832:VRY589832 WBR589832:WBU589832 WLN589832:WLQ589832 WVJ589832:WVM589832 B655368:E655368 IX655368:JA655368 ST655368:SW655368 ACP655368:ACS655368 AML655368:AMO655368 AWH655368:AWK655368 BGD655368:BGG655368 BPZ655368:BQC655368 BZV655368:BZY655368 CJR655368:CJU655368 CTN655368:CTQ655368 DDJ655368:DDM655368 DNF655368:DNI655368 DXB655368:DXE655368 EGX655368:EHA655368 EQT655368:EQW655368 FAP655368:FAS655368 FKL655368:FKO655368 FUH655368:FUK655368 GED655368:GEG655368 GNZ655368:GOC655368 GXV655368:GXY655368 HHR655368:HHU655368 HRN655368:HRQ655368 IBJ655368:IBM655368 ILF655368:ILI655368 IVB655368:IVE655368 JEX655368:JFA655368 JOT655368:JOW655368 JYP655368:JYS655368 KIL655368:KIO655368 KSH655368:KSK655368 LCD655368:LCG655368 LLZ655368:LMC655368 LVV655368:LVY655368 MFR655368:MFU655368 MPN655368:MPQ655368 MZJ655368:MZM655368 NJF655368:NJI655368 NTB655368:NTE655368 OCX655368:ODA655368 OMT655368:OMW655368 OWP655368:OWS655368 PGL655368:PGO655368 PQH655368:PQK655368 QAD655368:QAG655368 QJZ655368:QKC655368 QTV655368:QTY655368 RDR655368:RDU655368 RNN655368:RNQ655368 RXJ655368:RXM655368 SHF655368:SHI655368 SRB655368:SRE655368 TAX655368:TBA655368 TKT655368:TKW655368 TUP655368:TUS655368 UEL655368:UEO655368 UOH655368:UOK655368 UYD655368:UYG655368 VHZ655368:VIC655368 VRV655368:VRY655368 WBR655368:WBU655368 WLN655368:WLQ655368 WVJ655368:WVM655368 B720904:E720904 IX720904:JA720904 ST720904:SW720904 ACP720904:ACS720904 AML720904:AMO720904 AWH720904:AWK720904 BGD720904:BGG720904 BPZ720904:BQC720904 BZV720904:BZY720904 CJR720904:CJU720904 CTN720904:CTQ720904 DDJ720904:DDM720904 DNF720904:DNI720904 DXB720904:DXE720904 EGX720904:EHA720904 EQT720904:EQW720904 FAP720904:FAS720904 FKL720904:FKO720904 FUH720904:FUK720904 GED720904:GEG720904 GNZ720904:GOC720904 GXV720904:GXY720904 HHR720904:HHU720904 HRN720904:HRQ720904 IBJ720904:IBM720904 ILF720904:ILI720904 IVB720904:IVE720904 JEX720904:JFA720904 JOT720904:JOW720904 JYP720904:JYS720904 KIL720904:KIO720904 KSH720904:KSK720904 LCD720904:LCG720904 LLZ720904:LMC720904 LVV720904:LVY720904 MFR720904:MFU720904 MPN720904:MPQ720904 MZJ720904:MZM720904 NJF720904:NJI720904 NTB720904:NTE720904 OCX720904:ODA720904 OMT720904:OMW720904 OWP720904:OWS720904 PGL720904:PGO720904 PQH720904:PQK720904 QAD720904:QAG720904 QJZ720904:QKC720904 QTV720904:QTY720904 RDR720904:RDU720904 RNN720904:RNQ720904 RXJ720904:RXM720904 SHF720904:SHI720904 SRB720904:SRE720904 TAX720904:TBA720904 TKT720904:TKW720904 TUP720904:TUS720904 UEL720904:UEO720904 UOH720904:UOK720904 UYD720904:UYG720904 VHZ720904:VIC720904 VRV720904:VRY720904 WBR720904:WBU720904 WLN720904:WLQ720904 WVJ720904:WVM720904 B786440:E786440 IX786440:JA786440 ST786440:SW786440 ACP786440:ACS786440 AML786440:AMO786440 AWH786440:AWK786440 BGD786440:BGG786440 BPZ786440:BQC786440 BZV786440:BZY786440 CJR786440:CJU786440 CTN786440:CTQ786440 DDJ786440:DDM786440 DNF786440:DNI786440 DXB786440:DXE786440 EGX786440:EHA786440 EQT786440:EQW786440 FAP786440:FAS786440 FKL786440:FKO786440 FUH786440:FUK786440 GED786440:GEG786440 GNZ786440:GOC786440 GXV786440:GXY786440 HHR786440:HHU786440 HRN786440:HRQ786440 IBJ786440:IBM786440 ILF786440:ILI786440 IVB786440:IVE786440 JEX786440:JFA786440 JOT786440:JOW786440 JYP786440:JYS786440 KIL786440:KIO786440 KSH786440:KSK786440 LCD786440:LCG786440 LLZ786440:LMC786440 LVV786440:LVY786440 MFR786440:MFU786440 MPN786440:MPQ786440 MZJ786440:MZM786440 NJF786440:NJI786440 NTB786440:NTE786440 OCX786440:ODA786440 OMT786440:OMW786440 OWP786440:OWS786440 PGL786440:PGO786440 PQH786440:PQK786440 QAD786440:QAG786440 QJZ786440:QKC786440 QTV786440:QTY786440 RDR786440:RDU786440 RNN786440:RNQ786440 RXJ786440:RXM786440 SHF786440:SHI786440 SRB786440:SRE786440 TAX786440:TBA786440 TKT786440:TKW786440 TUP786440:TUS786440 UEL786440:UEO786440 UOH786440:UOK786440 UYD786440:UYG786440 VHZ786440:VIC786440 VRV786440:VRY786440 WBR786440:WBU786440 WLN786440:WLQ786440 WVJ786440:WVM786440 B851976:E851976 IX851976:JA851976 ST851976:SW851976 ACP851976:ACS851976 AML851976:AMO851976 AWH851976:AWK851976 BGD851976:BGG851976 BPZ851976:BQC851976 BZV851976:BZY851976 CJR851976:CJU851976 CTN851976:CTQ851976 DDJ851976:DDM851976 DNF851976:DNI851976 DXB851976:DXE851976 EGX851976:EHA851976 EQT851976:EQW851976 FAP851976:FAS851976 FKL851976:FKO851976 FUH851976:FUK851976 GED851976:GEG851976 GNZ851976:GOC851976 GXV851976:GXY851976 HHR851976:HHU851976 HRN851976:HRQ851976 IBJ851976:IBM851976 ILF851976:ILI851976 IVB851976:IVE851976 JEX851976:JFA851976 JOT851976:JOW851976 JYP851976:JYS851976 KIL851976:KIO851976 KSH851976:KSK851976 LCD851976:LCG851976 LLZ851976:LMC851976 LVV851976:LVY851976 MFR851976:MFU851976 MPN851976:MPQ851976 MZJ851976:MZM851976 NJF851976:NJI851976 NTB851976:NTE851976 OCX851976:ODA851976 OMT851976:OMW851976 OWP851976:OWS851976 PGL851976:PGO851976 PQH851976:PQK851976 QAD851976:QAG851976 QJZ851976:QKC851976 QTV851976:QTY851976 RDR851976:RDU851976 RNN851976:RNQ851976 RXJ851976:RXM851976 SHF851976:SHI851976 SRB851976:SRE851976 TAX851976:TBA851976 TKT851976:TKW851976 TUP851976:TUS851976 UEL851976:UEO851976 UOH851976:UOK851976 UYD851976:UYG851976 VHZ851976:VIC851976 VRV851976:VRY851976 WBR851976:WBU851976 WLN851976:WLQ851976 WVJ851976:WVM851976 B917512:E917512 IX917512:JA917512 ST917512:SW917512 ACP917512:ACS917512 AML917512:AMO917512 AWH917512:AWK917512 BGD917512:BGG917512 BPZ917512:BQC917512 BZV917512:BZY917512 CJR917512:CJU917512 CTN917512:CTQ917512 DDJ917512:DDM917512 DNF917512:DNI917512 DXB917512:DXE917512 EGX917512:EHA917512 EQT917512:EQW917512 FAP917512:FAS917512 FKL917512:FKO917512 FUH917512:FUK917512 GED917512:GEG917512 GNZ917512:GOC917512 GXV917512:GXY917512 HHR917512:HHU917512 HRN917512:HRQ917512 IBJ917512:IBM917512 ILF917512:ILI917512 IVB917512:IVE917512 JEX917512:JFA917512 JOT917512:JOW917512 JYP917512:JYS917512 KIL917512:KIO917512 KSH917512:KSK917512 LCD917512:LCG917512 LLZ917512:LMC917512 LVV917512:LVY917512 MFR917512:MFU917512 MPN917512:MPQ917512 MZJ917512:MZM917512 NJF917512:NJI917512 NTB917512:NTE917512 OCX917512:ODA917512 OMT917512:OMW917512 OWP917512:OWS917512 PGL917512:PGO917512 PQH917512:PQK917512 QAD917512:QAG917512 QJZ917512:QKC917512 QTV917512:QTY917512 RDR917512:RDU917512 RNN917512:RNQ917512 RXJ917512:RXM917512 SHF917512:SHI917512 SRB917512:SRE917512 TAX917512:TBA917512 TKT917512:TKW917512 TUP917512:TUS917512 UEL917512:UEO917512 UOH917512:UOK917512 UYD917512:UYG917512 VHZ917512:VIC917512 VRV917512:VRY917512 WBR917512:WBU917512 WLN917512:WLQ917512 WVJ917512:WVM917512 B983048:E983048 IX983048:JA983048 ST983048:SW983048 ACP983048:ACS983048 AML983048:AMO983048 AWH983048:AWK983048 BGD983048:BGG983048 BPZ983048:BQC983048 BZV983048:BZY983048 CJR983048:CJU983048 CTN983048:CTQ983048 DDJ983048:DDM983048 DNF983048:DNI983048 DXB983048:DXE983048 EGX983048:EHA983048 EQT983048:EQW983048 FAP983048:FAS983048 FKL983048:FKO983048 FUH983048:FUK983048 GED983048:GEG983048 GNZ983048:GOC983048 GXV983048:GXY983048 HHR983048:HHU983048 HRN983048:HRQ983048 IBJ983048:IBM983048 ILF983048:ILI983048 IVB983048:IVE983048 JEX983048:JFA983048 JOT983048:JOW983048 JYP983048:JYS983048 KIL983048:KIO983048 KSH983048:KSK983048 LCD983048:LCG983048 LLZ983048:LMC983048 LVV983048:LVY983048 MFR983048:MFU983048 MPN983048:MPQ983048 MZJ983048:MZM983048 NJF983048:NJI983048 NTB983048:NTE983048 OCX983048:ODA983048 OMT983048:OMW983048 OWP983048:OWS983048 PGL983048:PGO983048 PQH983048:PQK983048 QAD983048:QAG983048 QJZ983048:QKC983048 QTV983048:QTY983048 RDR983048:RDU983048 RNN983048:RNQ983048 RXJ983048:RXM983048 SHF983048:SHI983048 SRB983048:SRE983048 TAX983048:TBA983048 TKT983048:TKW983048 TUP983048:TUS983048 UEL983048:UEO983048 UOH983048:UOK983048 UYD983048:UYG983048 VHZ983048:VIC983048 VRV983048:VRY983048 WBR983048:WBU983048 WLN983048:WLQ983048 WVJ983048:WVM983048">
      <formula1>sigla_obras</formula1>
    </dataValidation>
    <dataValidation errorStyle="warning" allowBlank="1" showInputMessage="1" showErrorMessage="1" promptTitle="NOTE:" prompt="&lt;=== ADEQUAR PARA OS LIMITES DO BDI ESTABELECIDOS CONFORME TCU ACÓRDÃO 2622/2013 !"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dataValidation type="decimal" allowBlank="1" showInputMessage="1" showErrorMessage="1" errorTitle="ERRO" error="- SE ONERADO = 0%_x000a__x000a_- SE DESONERADO = ALÍQUOTA DE 4,5% DA RECEITA BRUTA" promptTitle="COMO PREENCHER:" prompt="- SE ONERADO: 0%_x000a__x000a_- SE DESONERADO: ALÍQUOTA DE 4,5% DA RECEITA BRUTA"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B22</formula1>
      <formula2>D22</formula2>
    </dataValidation>
    <dataValidation type="decimal" allowBlank="1" showInputMessage="1" showErrorMessage="1" errorTitle="ERRO" error="O VALOR ESTÁ FORA DOS LIMITES ESTABELECIDOS PELO TCU ACÓRDÃO 2622/2013 !" sqref="E14:E21 JA14:JA21 SW14:SW21 ACS14:ACS21 AMO14:AMO21 AWK14:AWK21 BGG14:BGG21 BQC14:BQC21 BZY14:BZY21 CJU14:CJU21 CTQ14:CTQ21 DDM14:DDM21 DNI14:DNI21 DXE14:DXE21 EHA14:EHA21 EQW14:EQW21 FAS14:FAS21 FKO14:FKO21 FUK14:FUK21 GEG14:GEG21 GOC14:GOC21 GXY14:GXY21 HHU14:HHU21 HRQ14:HRQ21 IBM14:IBM21 ILI14:ILI21 IVE14:IVE21 JFA14:JFA21 JOW14:JOW21 JYS14:JYS21 KIO14:KIO21 KSK14:KSK21 LCG14:LCG21 LMC14:LMC21 LVY14:LVY21 MFU14:MFU21 MPQ14:MPQ21 MZM14:MZM21 NJI14:NJI21 NTE14:NTE21 ODA14:ODA21 OMW14:OMW21 OWS14:OWS21 PGO14:PGO21 PQK14:PQK21 QAG14:QAG21 QKC14:QKC21 QTY14:QTY21 RDU14:RDU21 RNQ14:RNQ21 RXM14:RXM21 SHI14:SHI21 SRE14:SRE21 TBA14:TBA21 TKW14:TKW21 TUS14:TUS21 UEO14:UEO21 UOK14:UOK21 UYG14:UYG21 VIC14:VIC21 VRY14:VRY21 WBU14:WBU21 WLQ14:WLQ21 WVM14:WVM21 E65550:E65557 JA65550:JA65557 SW65550:SW65557 ACS65550:ACS65557 AMO65550:AMO65557 AWK65550:AWK65557 BGG65550:BGG65557 BQC65550:BQC65557 BZY65550:BZY65557 CJU65550:CJU65557 CTQ65550:CTQ65557 DDM65550:DDM65557 DNI65550:DNI65557 DXE65550:DXE65557 EHA65550:EHA65557 EQW65550:EQW65557 FAS65550:FAS65557 FKO65550:FKO65557 FUK65550:FUK65557 GEG65550:GEG65557 GOC65550:GOC65557 GXY65550:GXY65557 HHU65550:HHU65557 HRQ65550:HRQ65557 IBM65550:IBM65557 ILI65550:ILI65557 IVE65550:IVE65557 JFA65550:JFA65557 JOW65550:JOW65557 JYS65550:JYS65557 KIO65550:KIO65557 KSK65550:KSK65557 LCG65550:LCG65557 LMC65550:LMC65557 LVY65550:LVY65557 MFU65550:MFU65557 MPQ65550:MPQ65557 MZM65550:MZM65557 NJI65550:NJI65557 NTE65550:NTE65557 ODA65550:ODA65557 OMW65550:OMW65557 OWS65550:OWS65557 PGO65550:PGO65557 PQK65550:PQK65557 QAG65550:QAG65557 QKC65550:QKC65557 QTY65550:QTY65557 RDU65550:RDU65557 RNQ65550:RNQ65557 RXM65550:RXM65557 SHI65550:SHI65557 SRE65550:SRE65557 TBA65550:TBA65557 TKW65550:TKW65557 TUS65550:TUS65557 UEO65550:UEO65557 UOK65550:UOK65557 UYG65550:UYG65557 VIC65550:VIC65557 VRY65550:VRY65557 WBU65550:WBU65557 WLQ65550:WLQ65557 WVM65550:WVM65557 E131086:E131093 JA131086:JA131093 SW131086:SW131093 ACS131086:ACS131093 AMO131086:AMO131093 AWK131086:AWK131093 BGG131086:BGG131093 BQC131086:BQC131093 BZY131086:BZY131093 CJU131086:CJU131093 CTQ131086:CTQ131093 DDM131086:DDM131093 DNI131086:DNI131093 DXE131086:DXE131093 EHA131086:EHA131093 EQW131086:EQW131093 FAS131086:FAS131093 FKO131086:FKO131093 FUK131086:FUK131093 GEG131086:GEG131093 GOC131086:GOC131093 GXY131086:GXY131093 HHU131086:HHU131093 HRQ131086:HRQ131093 IBM131086:IBM131093 ILI131086:ILI131093 IVE131086:IVE131093 JFA131086:JFA131093 JOW131086:JOW131093 JYS131086:JYS131093 KIO131086:KIO131093 KSK131086:KSK131093 LCG131086:LCG131093 LMC131086:LMC131093 LVY131086:LVY131093 MFU131086:MFU131093 MPQ131086:MPQ131093 MZM131086:MZM131093 NJI131086:NJI131093 NTE131086:NTE131093 ODA131086:ODA131093 OMW131086:OMW131093 OWS131086:OWS131093 PGO131086:PGO131093 PQK131086:PQK131093 QAG131086:QAG131093 QKC131086:QKC131093 QTY131086:QTY131093 RDU131086:RDU131093 RNQ131086:RNQ131093 RXM131086:RXM131093 SHI131086:SHI131093 SRE131086:SRE131093 TBA131086:TBA131093 TKW131086:TKW131093 TUS131086:TUS131093 UEO131086:UEO131093 UOK131086:UOK131093 UYG131086:UYG131093 VIC131086:VIC131093 VRY131086:VRY131093 WBU131086:WBU131093 WLQ131086:WLQ131093 WVM131086:WVM131093 E196622:E196629 JA196622:JA196629 SW196622:SW196629 ACS196622:ACS196629 AMO196622:AMO196629 AWK196622:AWK196629 BGG196622:BGG196629 BQC196622:BQC196629 BZY196622:BZY196629 CJU196622:CJU196629 CTQ196622:CTQ196629 DDM196622:DDM196629 DNI196622:DNI196629 DXE196622:DXE196629 EHA196622:EHA196629 EQW196622:EQW196629 FAS196622:FAS196629 FKO196622:FKO196629 FUK196622:FUK196629 GEG196622:GEG196629 GOC196622:GOC196629 GXY196622:GXY196629 HHU196622:HHU196629 HRQ196622:HRQ196629 IBM196622:IBM196629 ILI196622:ILI196629 IVE196622:IVE196629 JFA196622:JFA196629 JOW196622:JOW196629 JYS196622:JYS196629 KIO196622:KIO196629 KSK196622:KSK196629 LCG196622:LCG196629 LMC196622:LMC196629 LVY196622:LVY196629 MFU196622:MFU196629 MPQ196622:MPQ196629 MZM196622:MZM196629 NJI196622:NJI196629 NTE196622:NTE196629 ODA196622:ODA196629 OMW196622:OMW196629 OWS196622:OWS196629 PGO196622:PGO196629 PQK196622:PQK196629 QAG196622:QAG196629 QKC196622:QKC196629 QTY196622:QTY196629 RDU196622:RDU196629 RNQ196622:RNQ196629 RXM196622:RXM196629 SHI196622:SHI196629 SRE196622:SRE196629 TBA196622:TBA196629 TKW196622:TKW196629 TUS196622:TUS196629 UEO196622:UEO196629 UOK196622:UOK196629 UYG196622:UYG196629 VIC196622:VIC196629 VRY196622:VRY196629 WBU196622:WBU196629 WLQ196622:WLQ196629 WVM196622:WVM196629 E262158:E262165 JA262158:JA262165 SW262158:SW262165 ACS262158:ACS262165 AMO262158:AMO262165 AWK262158:AWK262165 BGG262158:BGG262165 BQC262158:BQC262165 BZY262158:BZY262165 CJU262158:CJU262165 CTQ262158:CTQ262165 DDM262158:DDM262165 DNI262158:DNI262165 DXE262158:DXE262165 EHA262158:EHA262165 EQW262158:EQW262165 FAS262158:FAS262165 FKO262158:FKO262165 FUK262158:FUK262165 GEG262158:GEG262165 GOC262158:GOC262165 GXY262158:GXY262165 HHU262158:HHU262165 HRQ262158:HRQ262165 IBM262158:IBM262165 ILI262158:ILI262165 IVE262158:IVE262165 JFA262158:JFA262165 JOW262158:JOW262165 JYS262158:JYS262165 KIO262158:KIO262165 KSK262158:KSK262165 LCG262158:LCG262165 LMC262158:LMC262165 LVY262158:LVY262165 MFU262158:MFU262165 MPQ262158:MPQ262165 MZM262158:MZM262165 NJI262158:NJI262165 NTE262158:NTE262165 ODA262158:ODA262165 OMW262158:OMW262165 OWS262158:OWS262165 PGO262158:PGO262165 PQK262158:PQK262165 QAG262158:QAG262165 QKC262158:QKC262165 QTY262158:QTY262165 RDU262158:RDU262165 RNQ262158:RNQ262165 RXM262158:RXM262165 SHI262158:SHI262165 SRE262158:SRE262165 TBA262158:TBA262165 TKW262158:TKW262165 TUS262158:TUS262165 UEO262158:UEO262165 UOK262158:UOK262165 UYG262158:UYG262165 VIC262158:VIC262165 VRY262158:VRY262165 WBU262158:WBU262165 WLQ262158:WLQ262165 WVM262158:WVM262165 E327694:E327701 JA327694:JA327701 SW327694:SW327701 ACS327694:ACS327701 AMO327694:AMO327701 AWK327694:AWK327701 BGG327694:BGG327701 BQC327694:BQC327701 BZY327694:BZY327701 CJU327694:CJU327701 CTQ327694:CTQ327701 DDM327694:DDM327701 DNI327694:DNI327701 DXE327694:DXE327701 EHA327694:EHA327701 EQW327694:EQW327701 FAS327694:FAS327701 FKO327694:FKO327701 FUK327694:FUK327701 GEG327694:GEG327701 GOC327694:GOC327701 GXY327694:GXY327701 HHU327694:HHU327701 HRQ327694:HRQ327701 IBM327694:IBM327701 ILI327694:ILI327701 IVE327694:IVE327701 JFA327694:JFA327701 JOW327694:JOW327701 JYS327694:JYS327701 KIO327694:KIO327701 KSK327694:KSK327701 LCG327694:LCG327701 LMC327694:LMC327701 LVY327694:LVY327701 MFU327694:MFU327701 MPQ327694:MPQ327701 MZM327694:MZM327701 NJI327694:NJI327701 NTE327694:NTE327701 ODA327694:ODA327701 OMW327694:OMW327701 OWS327694:OWS327701 PGO327694:PGO327701 PQK327694:PQK327701 QAG327694:QAG327701 QKC327694:QKC327701 QTY327694:QTY327701 RDU327694:RDU327701 RNQ327694:RNQ327701 RXM327694:RXM327701 SHI327694:SHI327701 SRE327694:SRE327701 TBA327694:TBA327701 TKW327694:TKW327701 TUS327694:TUS327701 UEO327694:UEO327701 UOK327694:UOK327701 UYG327694:UYG327701 VIC327694:VIC327701 VRY327694:VRY327701 WBU327694:WBU327701 WLQ327694:WLQ327701 WVM327694:WVM327701 E393230:E393237 JA393230:JA393237 SW393230:SW393237 ACS393230:ACS393237 AMO393230:AMO393237 AWK393230:AWK393237 BGG393230:BGG393237 BQC393230:BQC393237 BZY393230:BZY393237 CJU393230:CJU393237 CTQ393230:CTQ393237 DDM393230:DDM393237 DNI393230:DNI393237 DXE393230:DXE393237 EHA393230:EHA393237 EQW393230:EQW393237 FAS393230:FAS393237 FKO393230:FKO393237 FUK393230:FUK393237 GEG393230:GEG393237 GOC393230:GOC393237 GXY393230:GXY393237 HHU393230:HHU393237 HRQ393230:HRQ393237 IBM393230:IBM393237 ILI393230:ILI393237 IVE393230:IVE393237 JFA393230:JFA393237 JOW393230:JOW393237 JYS393230:JYS393237 KIO393230:KIO393237 KSK393230:KSK393237 LCG393230:LCG393237 LMC393230:LMC393237 LVY393230:LVY393237 MFU393230:MFU393237 MPQ393230:MPQ393237 MZM393230:MZM393237 NJI393230:NJI393237 NTE393230:NTE393237 ODA393230:ODA393237 OMW393230:OMW393237 OWS393230:OWS393237 PGO393230:PGO393237 PQK393230:PQK393237 QAG393230:QAG393237 QKC393230:QKC393237 QTY393230:QTY393237 RDU393230:RDU393237 RNQ393230:RNQ393237 RXM393230:RXM393237 SHI393230:SHI393237 SRE393230:SRE393237 TBA393230:TBA393237 TKW393230:TKW393237 TUS393230:TUS393237 UEO393230:UEO393237 UOK393230:UOK393237 UYG393230:UYG393237 VIC393230:VIC393237 VRY393230:VRY393237 WBU393230:WBU393237 WLQ393230:WLQ393237 WVM393230:WVM393237 E458766:E458773 JA458766:JA458773 SW458766:SW458773 ACS458766:ACS458773 AMO458766:AMO458773 AWK458766:AWK458773 BGG458766:BGG458773 BQC458766:BQC458773 BZY458766:BZY458773 CJU458766:CJU458773 CTQ458766:CTQ458773 DDM458766:DDM458773 DNI458766:DNI458773 DXE458766:DXE458773 EHA458766:EHA458773 EQW458766:EQW458773 FAS458766:FAS458773 FKO458766:FKO458773 FUK458766:FUK458773 GEG458766:GEG458773 GOC458766:GOC458773 GXY458766:GXY458773 HHU458766:HHU458773 HRQ458766:HRQ458773 IBM458766:IBM458773 ILI458766:ILI458773 IVE458766:IVE458773 JFA458766:JFA458773 JOW458766:JOW458773 JYS458766:JYS458773 KIO458766:KIO458773 KSK458766:KSK458773 LCG458766:LCG458773 LMC458766:LMC458773 LVY458766:LVY458773 MFU458766:MFU458773 MPQ458766:MPQ458773 MZM458766:MZM458773 NJI458766:NJI458773 NTE458766:NTE458773 ODA458766:ODA458773 OMW458766:OMW458773 OWS458766:OWS458773 PGO458766:PGO458773 PQK458766:PQK458773 QAG458766:QAG458773 QKC458766:QKC458773 QTY458766:QTY458773 RDU458766:RDU458773 RNQ458766:RNQ458773 RXM458766:RXM458773 SHI458766:SHI458773 SRE458766:SRE458773 TBA458766:TBA458773 TKW458766:TKW458773 TUS458766:TUS458773 UEO458766:UEO458773 UOK458766:UOK458773 UYG458766:UYG458773 VIC458766:VIC458773 VRY458766:VRY458773 WBU458766:WBU458773 WLQ458766:WLQ458773 WVM458766:WVM458773 E524302:E524309 JA524302:JA524309 SW524302:SW524309 ACS524302:ACS524309 AMO524302:AMO524309 AWK524302:AWK524309 BGG524302:BGG524309 BQC524302:BQC524309 BZY524302:BZY524309 CJU524302:CJU524309 CTQ524302:CTQ524309 DDM524302:DDM524309 DNI524302:DNI524309 DXE524302:DXE524309 EHA524302:EHA524309 EQW524302:EQW524309 FAS524302:FAS524309 FKO524302:FKO524309 FUK524302:FUK524309 GEG524302:GEG524309 GOC524302:GOC524309 GXY524302:GXY524309 HHU524302:HHU524309 HRQ524302:HRQ524309 IBM524302:IBM524309 ILI524302:ILI524309 IVE524302:IVE524309 JFA524302:JFA524309 JOW524302:JOW524309 JYS524302:JYS524309 KIO524302:KIO524309 KSK524302:KSK524309 LCG524302:LCG524309 LMC524302:LMC524309 LVY524302:LVY524309 MFU524302:MFU524309 MPQ524302:MPQ524309 MZM524302:MZM524309 NJI524302:NJI524309 NTE524302:NTE524309 ODA524302:ODA524309 OMW524302:OMW524309 OWS524302:OWS524309 PGO524302:PGO524309 PQK524302:PQK524309 QAG524302:QAG524309 QKC524302:QKC524309 QTY524302:QTY524309 RDU524302:RDU524309 RNQ524302:RNQ524309 RXM524302:RXM524309 SHI524302:SHI524309 SRE524302:SRE524309 TBA524302:TBA524309 TKW524302:TKW524309 TUS524302:TUS524309 UEO524302:UEO524309 UOK524302:UOK524309 UYG524302:UYG524309 VIC524302:VIC524309 VRY524302:VRY524309 WBU524302:WBU524309 WLQ524302:WLQ524309 WVM524302:WVM524309 E589838:E589845 JA589838:JA589845 SW589838:SW589845 ACS589838:ACS589845 AMO589838:AMO589845 AWK589838:AWK589845 BGG589838:BGG589845 BQC589838:BQC589845 BZY589838:BZY589845 CJU589838:CJU589845 CTQ589838:CTQ589845 DDM589838:DDM589845 DNI589838:DNI589845 DXE589838:DXE589845 EHA589838:EHA589845 EQW589838:EQW589845 FAS589838:FAS589845 FKO589838:FKO589845 FUK589838:FUK589845 GEG589838:GEG589845 GOC589838:GOC589845 GXY589838:GXY589845 HHU589838:HHU589845 HRQ589838:HRQ589845 IBM589838:IBM589845 ILI589838:ILI589845 IVE589838:IVE589845 JFA589838:JFA589845 JOW589838:JOW589845 JYS589838:JYS589845 KIO589838:KIO589845 KSK589838:KSK589845 LCG589838:LCG589845 LMC589838:LMC589845 LVY589838:LVY589845 MFU589838:MFU589845 MPQ589838:MPQ589845 MZM589838:MZM589845 NJI589838:NJI589845 NTE589838:NTE589845 ODA589838:ODA589845 OMW589838:OMW589845 OWS589838:OWS589845 PGO589838:PGO589845 PQK589838:PQK589845 QAG589838:QAG589845 QKC589838:QKC589845 QTY589838:QTY589845 RDU589838:RDU589845 RNQ589838:RNQ589845 RXM589838:RXM589845 SHI589838:SHI589845 SRE589838:SRE589845 TBA589838:TBA589845 TKW589838:TKW589845 TUS589838:TUS589845 UEO589838:UEO589845 UOK589838:UOK589845 UYG589838:UYG589845 VIC589838:VIC589845 VRY589838:VRY589845 WBU589838:WBU589845 WLQ589838:WLQ589845 WVM589838:WVM589845 E655374:E655381 JA655374:JA655381 SW655374:SW655381 ACS655374:ACS655381 AMO655374:AMO655381 AWK655374:AWK655381 BGG655374:BGG655381 BQC655374:BQC655381 BZY655374:BZY655381 CJU655374:CJU655381 CTQ655374:CTQ655381 DDM655374:DDM655381 DNI655374:DNI655381 DXE655374:DXE655381 EHA655374:EHA655381 EQW655374:EQW655381 FAS655374:FAS655381 FKO655374:FKO655381 FUK655374:FUK655381 GEG655374:GEG655381 GOC655374:GOC655381 GXY655374:GXY655381 HHU655374:HHU655381 HRQ655374:HRQ655381 IBM655374:IBM655381 ILI655374:ILI655381 IVE655374:IVE655381 JFA655374:JFA655381 JOW655374:JOW655381 JYS655374:JYS655381 KIO655374:KIO655381 KSK655374:KSK655381 LCG655374:LCG655381 LMC655374:LMC655381 LVY655374:LVY655381 MFU655374:MFU655381 MPQ655374:MPQ655381 MZM655374:MZM655381 NJI655374:NJI655381 NTE655374:NTE655381 ODA655374:ODA655381 OMW655374:OMW655381 OWS655374:OWS655381 PGO655374:PGO655381 PQK655374:PQK655381 QAG655374:QAG655381 QKC655374:QKC655381 QTY655374:QTY655381 RDU655374:RDU655381 RNQ655374:RNQ655381 RXM655374:RXM655381 SHI655374:SHI655381 SRE655374:SRE655381 TBA655374:TBA655381 TKW655374:TKW655381 TUS655374:TUS655381 UEO655374:UEO655381 UOK655374:UOK655381 UYG655374:UYG655381 VIC655374:VIC655381 VRY655374:VRY655381 WBU655374:WBU655381 WLQ655374:WLQ655381 WVM655374:WVM655381 E720910:E720917 JA720910:JA720917 SW720910:SW720917 ACS720910:ACS720917 AMO720910:AMO720917 AWK720910:AWK720917 BGG720910:BGG720917 BQC720910:BQC720917 BZY720910:BZY720917 CJU720910:CJU720917 CTQ720910:CTQ720917 DDM720910:DDM720917 DNI720910:DNI720917 DXE720910:DXE720917 EHA720910:EHA720917 EQW720910:EQW720917 FAS720910:FAS720917 FKO720910:FKO720917 FUK720910:FUK720917 GEG720910:GEG720917 GOC720910:GOC720917 GXY720910:GXY720917 HHU720910:HHU720917 HRQ720910:HRQ720917 IBM720910:IBM720917 ILI720910:ILI720917 IVE720910:IVE720917 JFA720910:JFA720917 JOW720910:JOW720917 JYS720910:JYS720917 KIO720910:KIO720917 KSK720910:KSK720917 LCG720910:LCG720917 LMC720910:LMC720917 LVY720910:LVY720917 MFU720910:MFU720917 MPQ720910:MPQ720917 MZM720910:MZM720917 NJI720910:NJI720917 NTE720910:NTE720917 ODA720910:ODA720917 OMW720910:OMW720917 OWS720910:OWS720917 PGO720910:PGO720917 PQK720910:PQK720917 QAG720910:QAG720917 QKC720910:QKC720917 QTY720910:QTY720917 RDU720910:RDU720917 RNQ720910:RNQ720917 RXM720910:RXM720917 SHI720910:SHI720917 SRE720910:SRE720917 TBA720910:TBA720917 TKW720910:TKW720917 TUS720910:TUS720917 UEO720910:UEO720917 UOK720910:UOK720917 UYG720910:UYG720917 VIC720910:VIC720917 VRY720910:VRY720917 WBU720910:WBU720917 WLQ720910:WLQ720917 WVM720910:WVM720917 E786446:E786453 JA786446:JA786453 SW786446:SW786453 ACS786446:ACS786453 AMO786446:AMO786453 AWK786446:AWK786453 BGG786446:BGG786453 BQC786446:BQC786453 BZY786446:BZY786453 CJU786446:CJU786453 CTQ786446:CTQ786453 DDM786446:DDM786453 DNI786446:DNI786453 DXE786446:DXE786453 EHA786446:EHA786453 EQW786446:EQW786453 FAS786446:FAS786453 FKO786446:FKO786453 FUK786446:FUK786453 GEG786446:GEG786453 GOC786446:GOC786453 GXY786446:GXY786453 HHU786446:HHU786453 HRQ786446:HRQ786453 IBM786446:IBM786453 ILI786446:ILI786453 IVE786446:IVE786453 JFA786446:JFA786453 JOW786446:JOW786453 JYS786446:JYS786453 KIO786446:KIO786453 KSK786446:KSK786453 LCG786446:LCG786453 LMC786446:LMC786453 LVY786446:LVY786453 MFU786446:MFU786453 MPQ786446:MPQ786453 MZM786446:MZM786453 NJI786446:NJI786453 NTE786446:NTE786453 ODA786446:ODA786453 OMW786446:OMW786453 OWS786446:OWS786453 PGO786446:PGO786453 PQK786446:PQK786453 QAG786446:QAG786453 QKC786446:QKC786453 QTY786446:QTY786453 RDU786446:RDU786453 RNQ786446:RNQ786453 RXM786446:RXM786453 SHI786446:SHI786453 SRE786446:SRE786453 TBA786446:TBA786453 TKW786446:TKW786453 TUS786446:TUS786453 UEO786446:UEO786453 UOK786446:UOK786453 UYG786446:UYG786453 VIC786446:VIC786453 VRY786446:VRY786453 WBU786446:WBU786453 WLQ786446:WLQ786453 WVM786446:WVM786453 E851982:E851989 JA851982:JA851989 SW851982:SW851989 ACS851982:ACS851989 AMO851982:AMO851989 AWK851982:AWK851989 BGG851982:BGG851989 BQC851982:BQC851989 BZY851982:BZY851989 CJU851982:CJU851989 CTQ851982:CTQ851989 DDM851982:DDM851989 DNI851982:DNI851989 DXE851982:DXE851989 EHA851982:EHA851989 EQW851982:EQW851989 FAS851982:FAS851989 FKO851982:FKO851989 FUK851982:FUK851989 GEG851982:GEG851989 GOC851982:GOC851989 GXY851982:GXY851989 HHU851982:HHU851989 HRQ851982:HRQ851989 IBM851982:IBM851989 ILI851982:ILI851989 IVE851982:IVE851989 JFA851982:JFA851989 JOW851982:JOW851989 JYS851982:JYS851989 KIO851982:KIO851989 KSK851982:KSK851989 LCG851982:LCG851989 LMC851982:LMC851989 LVY851982:LVY851989 MFU851982:MFU851989 MPQ851982:MPQ851989 MZM851982:MZM851989 NJI851982:NJI851989 NTE851982:NTE851989 ODA851982:ODA851989 OMW851982:OMW851989 OWS851982:OWS851989 PGO851982:PGO851989 PQK851982:PQK851989 QAG851982:QAG851989 QKC851982:QKC851989 QTY851982:QTY851989 RDU851982:RDU851989 RNQ851982:RNQ851989 RXM851982:RXM851989 SHI851982:SHI851989 SRE851982:SRE851989 TBA851982:TBA851989 TKW851982:TKW851989 TUS851982:TUS851989 UEO851982:UEO851989 UOK851982:UOK851989 UYG851982:UYG851989 VIC851982:VIC851989 VRY851982:VRY851989 WBU851982:WBU851989 WLQ851982:WLQ851989 WVM851982:WVM851989 E917518:E917525 JA917518:JA917525 SW917518:SW917525 ACS917518:ACS917525 AMO917518:AMO917525 AWK917518:AWK917525 BGG917518:BGG917525 BQC917518:BQC917525 BZY917518:BZY917525 CJU917518:CJU917525 CTQ917518:CTQ917525 DDM917518:DDM917525 DNI917518:DNI917525 DXE917518:DXE917525 EHA917518:EHA917525 EQW917518:EQW917525 FAS917518:FAS917525 FKO917518:FKO917525 FUK917518:FUK917525 GEG917518:GEG917525 GOC917518:GOC917525 GXY917518:GXY917525 HHU917518:HHU917525 HRQ917518:HRQ917525 IBM917518:IBM917525 ILI917518:ILI917525 IVE917518:IVE917525 JFA917518:JFA917525 JOW917518:JOW917525 JYS917518:JYS917525 KIO917518:KIO917525 KSK917518:KSK917525 LCG917518:LCG917525 LMC917518:LMC917525 LVY917518:LVY917525 MFU917518:MFU917525 MPQ917518:MPQ917525 MZM917518:MZM917525 NJI917518:NJI917525 NTE917518:NTE917525 ODA917518:ODA917525 OMW917518:OMW917525 OWS917518:OWS917525 PGO917518:PGO917525 PQK917518:PQK917525 QAG917518:QAG917525 QKC917518:QKC917525 QTY917518:QTY917525 RDU917518:RDU917525 RNQ917518:RNQ917525 RXM917518:RXM917525 SHI917518:SHI917525 SRE917518:SRE917525 TBA917518:TBA917525 TKW917518:TKW917525 TUS917518:TUS917525 UEO917518:UEO917525 UOK917518:UOK917525 UYG917518:UYG917525 VIC917518:VIC917525 VRY917518:VRY917525 WBU917518:WBU917525 WLQ917518:WLQ917525 WVM917518:WVM917525 E983054:E983061 JA983054:JA983061 SW983054:SW983061 ACS983054:ACS983061 AMO983054:AMO983061 AWK983054:AWK983061 BGG983054:BGG983061 BQC983054:BQC983061 BZY983054:BZY983061 CJU983054:CJU983061 CTQ983054:CTQ983061 DDM983054:DDM983061 DNI983054:DNI983061 DXE983054:DXE983061 EHA983054:EHA983061 EQW983054:EQW983061 FAS983054:FAS983061 FKO983054:FKO983061 FUK983054:FUK983061 GEG983054:GEG983061 GOC983054:GOC983061 GXY983054:GXY983061 HHU983054:HHU983061 HRQ983054:HRQ983061 IBM983054:IBM983061 ILI983054:ILI983061 IVE983054:IVE983061 JFA983054:JFA983061 JOW983054:JOW983061 JYS983054:JYS983061 KIO983054:KIO983061 KSK983054:KSK983061 LCG983054:LCG983061 LMC983054:LMC983061 LVY983054:LVY983061 MFU983054:MFU983061 MPQ983054:MPQ983061 MZM983054:MZM983061 NJI983054:NJI983061 NTE983054:NTE983061 ODA983054:ODA983061 OMW983054:OMW983061 OWS983054:OWS983061 PGO983054:PGO983061 PQK983054:PQK983061 QAG983054:QAG983061 QKC983054:QKC983061 QTY983054:QTY983061 RDU983054:RDU983061 RNQ983054:RNQ983061 RXM983054:RXM983061 SHI983054:SHI983061 SRE983054:SRE983061 TBA983054:TBA983061 TKW983054:TKW983061 TUS983054:TUS983061 UEO983054:UEO983061 UOK983054:UOK983061 UYG983054:UYG983061 VIC983054:VIC983061 VRY983054:VRY983061 WBU983054:WBU983061 WLQ983054:WLQ983061 WVM983054:WVM983061">
      <formula1>B14</formula1>
      <formula2>D14</formula2>
    </dataValidation>
  </dataValidations>
  <printOptions horizontalCentered="1"/>
  <pageMargins left="1.1811023622047245" right="0.78740157480314965" top="1.1811023622047245" bottom="0.78740157480314965" header="0.51181102362204722" footer="0.51181102362204722"/>
  <pageSetup paperSize="9" scale="76" orientation="portrait" r:id="rId1"/>
  <headerFooter alignWithMargins="0">
    <oddFooter>&amp;R&amp;P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70" workbookViewId="0">
      <selection activeCell="Y7" sqref="Y7"/>
    </sheetView>
  </sheetViews>
  <sheetFormatPr defaultRowHeight="12.75" x14ac:dyDescent="0.2"/>
  <cols>
    <col min="1" max="1" width="84.85546875" style="122" bestFit="1" customWidth="1"/>
    <col min="2" max="24" width="9.140625" style="122"/>
    <col min="25" max="25" width="11.28515625" style="122" bestFit="1" customWidth="1"/>
    <col min="26" max="256" width="9.140625" style="122"/>
    <col min="257" max="257" width="84.85546875" style="122" bestFit="1" customWidth="1"/>
    <col min="258" max="280" width="9.140625" style="122"/>
    <col min="281" max="281" width="11.28515625" style="122" bestFit="1" customWidth="1"/>
    <col min="282" max="512" width="9.140625" style="122"/>
    <col min="513" max="513" width="84.85546875" style="122" bestFit="1" customWidth="1"/>
    <col min="514" max="536" width="9.140625" style="122"/>
    <col min="537" max="537" width="11.28515625" style="122" bestFit="1" customWidth="1"/>
    <col min="538" max="768" width="9.140625" style="122"/>
    <col min="769" max="769" width="84.85546875" style="122" bestFit="1" customWidth="1"/>
    <col min="770" max="792" width="9.140625" style="122"/>
    <col min="793" max="793" width="11.28515625" style="122" bestFit="1" customWidth="1"/>
    <col min="794" max="1024" width="9.140625" style="122"/>
    <col min="1025" max="1025" width="84.85546875" style="122" bestFit="1" customWidth="1"/>
    <col min="1026" max="1048" width="9.140625" style="122"/>
    <col min="1049" max="1049" width="11.28515625" style="122" bestFit="1" customWidth="1"/>
    <col min="1050" max="1280" width="9.140625" style="122"/>
    <col min="1281" max="1281" width="84.85546875" style="122" bestFit="1" customWidth="1"/>
    <col min="1282" max="1304" width="9.140625" style="122"/>
    <col min="1305" max="1305" width="11.28515625" style="122" bestFit="1" customWidth="1"/>
    <col min="1306" max="1536" width="9.140625" style="122"/>
    <col min="1537" max="1537" width="84.85546875" style="122" bestFit="1" customWidth="1"/>
    <col min="1538" max="1560" width="9.140625" style="122"/>
    <col min="1561" max="1561" width="11.28515625" style="122" bestFit="1" customWidth="1"/>
    <col min="1562" max="1792" width="9.140625" style="122"/>
    <col min="1793" max="1793" width="84.85546875" style="122" bestFit="1" customWidth="1"/>
    <col min="1794" max="1816" width="9.140625" style="122"/>
    <col min="1817" max="1817" width="11.28515625" style="122" bestFit="1" customWidth="1"/>
    <col min="1818" max="2048" width="9.140625" style="122"/>
    <col min="2049" max="2049" width="84.85546875" style="122" bestFit="1" customWidth="1"/>
    <col min="2050" max="2072" width="9.140625" style="122"/>
    <col min="2073" max="2073" width="11.28515625" style="122" bestFit="1" customWidth="1"/>
    <col min="2074" max="2304" width="9.140625" style="122"/>
    <col min="2305" max="2305" width="84.85546875" style="122" bestFit="1" customWidth="1"/>
    <col min="2306" max="2328" width="9.140625" style="122"/>
    <col min="2329" max="2329" width="11.28515625" style="122" bestFit="1" customWidth="1"/>
    <col min="2330" max="2560" width="9.140625" style="122"/>
    <col min="2561" max="2561" width="84.85546875" style="122" bestFit="1" customWidth="1"/>
    <col min="2562" max="2584" width="9.140625" style="122"/>
    <col min="2585" max="2585" width="11.28515625" style="122" bestFit="1" customWidth="1"/>
    <col min="2586" max="2816" width="9.140625" style="122"/>
    <col min="2817" max="2817" width="84.85546875" style="122" bestFit="1" customWidth="1"/>
    <col min="2818" max="2840" width="9.140625" style="122"/>
    <col min="2841" max="2841" width="11.28515625" style="122" bestFit="1" customWidth="1"/>
    <col min="2842" max="3072" width="9.140625" style="122"/>
    <col min="3073" max="3073" width="84.85546875" style="122" bestFit="1" customWidth="1"/>
    <col min="3074" max="3096" width="9.140625" style="122"/>
    <col min="3097" max="3097" width="11.28515625" style="122" bestFit="1" customWidth="1"/>
    <col min="3098" max="3328" width="9.140625" style="122"/>
    <col min="3329" max="3329" width="84.85546875" style="122" bestFit="1" customWidth="1"/>
    <col min="3330" max="3352" width="9.140625" style="122"/>
    <col min="3353" max="3353" width="11.28515625" style="122" bestFit="1" customWidth="1"/>
    <col min="3354" max="3584" width="9.140625" style="122"/>
    <col min="3585" max="3585" width="84.85546875" style="122" bestFit="1" customWidth="1"/>
    <col min="3586" max="3608" width="9.140625" style="122"/>
    <col min="3609" max="3609" width="11.28515625" style="122" bestFit="1" customWidth="1"/>
    <col min="3610" max="3840" width="9.140625" style="122"/>
    <col min="3841" max="3841" width="84.85546875" style="122" bestFit="1" customWidth="1"/>
    <col min="3842" max="3864" width="9.140625" style="122"/>
    <col min="3865" max="3865" width="11.28515625" style="122" bestFit="1" customWidth="1"/>
    <col min="3866" max="4096" width="9.140625" style="122"/>
    <col min="4097" max="4097" width="84.85546875" style="122" bestFit="1" customWidth="1"/>
    <col min="4098" max="4120" width="9.140625" style="122"/>
    <col min="4121" max="4121" width="11.28515625" style="122" bestFit="1" customWidth="1"/>
    <col min="4122" max="4352" width="9.140625" style="122"/>
    <col min="4353" max="4353" width="84.85546875" style="122" bestFit="1" customWidth="1"/>
    <col min="4354" max="4376" width="9.140625" style="122"/>
    <col min="4377" max="4377" width="11.28515625" style="122" bestFit="1" customWidth="1"/>
    <col min="4378" max="4608" width="9.140625" style="122"/>
    <col min="4609" max="4609" width="84.85546875" style="122" bestFit="1" customWidth="1"/>
    <col min="4610" max="4632" width="9.140625" style="122"/>
    <col min="4633" max="4633" width="11.28515625" style="122" bestFit="1" customWidth="1"/>
    <col min="4634" max="4864" width="9.140625" style="122"/>
    <col min="4865" max="4865" width="84.85546875" style="122" bestFit="1" customWidth="1"/>
    <col min="4866" max="4888" width="9.140625" style="122"/>
    <col min="4889" max="4889" width="11.28515625" style="122" bestFit="1" customWidth="1"/>
    <col min="4890" max="5120" width="9.140625" style="122"/>
    <col min="5121" max="5121" width="84.85546875" style="122" bestFit="1" customWidth="1"/>
    <col min="5122" max="5144" width="9.140625" style="122"/>
    <col min="5145" max="5145" width="11.28515625" style="122" bestFit="1" customWidth="1"/>
    <col min="5146" max="5376" width="9.140625" style="122"/>
    <col min="5377" max="5377" width="84.85546875" style="122" bestFit="1" customWidth="1"/>
    <col min="5378" max="5400" width="9.140625" style="122"/>
    <col min="5401" max="5401" width="11.28515625" style="122" bestFit="1" customWidth="1"/>
    <col min="5402" max="5632" width="9.140625" style="122"/>
    <col min="5633" max="5633" width="84.85546875" style="122" bestFit="1" customWidth="1"/>
    <col min="5634" max="5656" width="9.140625" style="122"/>
    <col min="5657" max="5657" width="11.28515625" style="122" bestFit="1" customWidth="1"/>
    <col min="5658" max="5888" width="9.140625" style="122"/>
    <col min="5889" max="5889" width="84.85546875" style="122" bestFit="1" customWidth="1"/>
    <col min="5890" max="5912" width="9.140625" style="122"/>
    <col min="5913" max="5913" width="11.28515625" style="122" bestFit="1" customWidth="1"/>
    <col min="5914" max="6144" width="9.140625" style="122"/>
    <col min="6145" max="6145" width="84.85546875" style="122" bestFit="1" customWidth="1"/>
    <col min="6146" max="6168" width="9.140625" style="122"/>
    <col min="6169" max="6169" width="11.28515625" style="122" bestFit="1" customWidth="1"/>
    <col min="6170" max="6400" width="9.140625" style="122"/>
    <col min="6401" max="6401" width="84.85546875" style="122" bestFit="1" customWidth="1"/>
    <col min="6402" max="6424" width="9.140625" style="122"/>
    <col min="6425" max="6425" width="11.28515625" style="122" bestFit="1" customWidth="1"/>
    <col min="6426" max="6656" width="9.140625" style="122"/>
    <col min="6657" max="6657" width="84.85546875" style="122" bestFit="1" customWidth="1"/>
    <col min="6658" max="6680" width="9.140625" style="122"/>
    <col min="6681" max="6681" width="11.28515625" style="122" bestFit="1" customWidth="1"/>
    <col min="6682" max="6912" width="9.140625" style="122"/>
    <col min="6913" max="6913" width="84.85546875" style="122" bestFit="1" customWidth="1"/>
    <col min="6914" max="6936" width="9.140625" style="122"/>
    <col min="6937" max="6937" width="11.28515625" style="122" bestFit="1" customWidth="1"/>
    <col min="6938" max="7168" width="9.140625" style="122"/>
    <col min="7169" max="7169" width="84.85546875" style="122" bestFit="1" customWidth="1"/>
    <col min="7170" max="7192" width="9.140625" style="122"/>
    <col min="7193" max="7193" width="11.28515625" style="122" bestFit="1" customWidth="1"/>
    <col min="7194" max="7424" width="9.140625" style="122"/>
    <col min="7425" max="7425" width="84.85546875" style="122" bestFit="1" customWidth="1"/>
    <col min="7426" max="7448" width="9.140625" style="122"/>
    <col min="7449" max="7449" width="11.28515625" style="122" bestFit="1" customWidth="1"/>
    <col min="7450" max="7680" width="9.140625" style="122"/>
    <col min="7681" max="7681" width="84.85546875" style="122" bestFit="1" customWidth="1"/>
    <col min="7682" max="7704" width="9.140625" style="122"/>
    <col min="7705" max="7705" width="11.28515625" style="122" bestFit="1" customWidth="1"/>
    <col min="7706" max="7936" width="9.140625" style="122"/>
    <col min="7937" max="7937" width="84.85546875" style="122" bestFit="1" customWidth="1"/>
    <col min="7938" max="7960" width="9.140625" style="122"/>
    <col min="7961" max="7961" width="11.28515625" style="122" bestFit="1" customWidth="1"/>
    <col min="7962" max="8192" width="9.140625" style="122"/>
    <col min="8193" max="8193" width="84.85546875" style="122" bestFit="1" customWidth="1"/>
    <col min="8194" max="8216" width="9.140625" style="122"/>
    <col min="8217" max="8217" width="11.28515625" style="122" bestFit="1" customWidth="1"/>
    <col min="8218" max="8448" width="9.140625" style="122"/>
    <col min="8449" max="8449" width="84.85546875" style="122" bestFit="1" customWidth="1"/>
    <col min="8450" max="8472" width="9.140625" style="122"/>
    <col min="8473" max="8473" width="11.28515625" style="122" bestFit="1" customWidth="1"/>
    <col min="8474" max="8704" width="9.140625" style="122"/>
    <col min="8705" max="8705" width="84.85546875" style="122" bestFit="1" customWidth="1"/>
    <col min="8706" max="8728" width="9.140625" style="122"/>
    <col min="8729" max="8729" width="11.28515625" style="122" bestFit="1" customWidth="1"/>
    <col min="8730" max="8960" width="9.140625" style="122"/>
    <col min="8961" max="8961" width="84.85546875" style="122" bestFit="1" customWidth="1"/>
    <col min="8962" max="8984" width="9.140625" style="122"/>
    <col min="8985" max="8985" width="11.28515625" style="122" bestFit="1" customWidth="1"/>
    <col min="8986" max="9216" width="9.140625" style="122"/>
    <col min="9217" max="9217" width="84.85546875" style="122" bestFit="1" customWidth="1"/>
    <col min="9218" max="9240" width="9.140625" style="122"/>
    <col min="9241" max="9241" width="11.28515625" style="122" bestFit="1" customWidth="1"/>
    <col min="9242" max="9472" width="9.140625" style="122"/>
    <col min="9473" max="9473" width="84.85546875" style="122" bestFit="1" customWidth="1"/>
    <col min="9474" max="9496" width="9.140625" style="122"/>
    <col min="9497" max="9497" width="11.28515625" style="122" bestFit="1" customWidth="1"/>
    <col min="9498" max="9728" width="9.140625" style="122"/>
    <col min="9729" max="9729" width="84.85546875" style="122" bestFit="1" customWidth="1"/>
    <col min="9730" max="9752" width="9.140625" style="122"/>
    <col min="9753" max="9753" width="11.28515625" style="122" bestFit="1" customWidth="1"/>
    <col min="9754" max="9984" width="9.140625" style="122"/>
    <col min="9985" max="9985" width="84.85546875" style="122" bestFit="1" customWidth="1"/>
    <col min="9986" max="10008" width="9.140625" style="122"/>
    <col min="10009" max="10009" width="11.28515625" style="122" bestFit="1" customWidth="1"/>
    <col min="10010" max="10240" width="9.140625" style="122"/>
    <col min="10241" max="10241" width="84.85546875" style="122" bestFit="1" customWidth="1"/>
    <col min="10242" max="10264" width="9.140625" style="122"/>
    <col min="10265" max="10265" width="11.28515625" style="122" bestFit="1" customWidth="1"/>
    <col min="10266" max="10496" width="9.140625" style="122"/>
    <col min="10497" max="10497" width="84.85546875" style="122" bestFit="1" customWidth="1"/>
    <col min="10498" max="10520" width="9.140625" style="122"/>
    <col min="10521" max="10521" width="11.28515625" style="122" bestFit="1" customWidth="1"/>
    <col min="10522" max="10752" width="9.140625" style="122"/>
    <col min="10753" max="10753" width="84.85546875" style="122" bestFit="1" customWidth="1"/>
    <col min="10754" max="10776" width="9.140625" style="122"/>
    <col min="10777" max="10777" width="11.28515625" style="122" bestFit="1" customWidth="1"/>
    <col min="10778" max="11008" width="9.140625" style="122"/>
    <col min="11009" max="11009" width="84.85546875" style="122" bestFit="1" customWidth="1"/>
    <col min="11010" max="11032" width="9.140625" style="122"/>
    <col min="11033" max="11033" width="11.28515625" style="122" bestFit="1" customWidth="1"/>
    <col min="11034" max="11264" width="9.140625" style="122"/>
    <col min="11265" max="11265" width="84.85546875" style="122" bestFit="1" customWidth="1"/>
    <col min="11266" max="11288" width="9.140625" style="122"/>
    <col min="11289" max="11289" width="11.28515625" style="122" bestFit="1" customWidth="1"/>
    <col min="11290" max="11520" width="9.140625" style="122"/>
    <col min="11521" max="11521" width="84.85546875" style="122" bestFit="1" customWidth="1"/>
    <col min="11522" max="11544" width="9.140625" style="122"/>
    <col min="11545" max="11545" width="11.28515625" style="122" bestFit="1" customWidth="1"/>
    <col min="11546" max="11776" width="9.140625" style="122"/>
    <col min="11777" max="11777" width="84.85546875" style="122" bestFit="1" customWidth="1"/>
    <col min="11778" max="11800" width="9.140625" style="122"/>
    <col min="11801" max="11801" width="11.28515625" style="122" bestFit="1" customWidth="1"/>
    <col min="11802" max="12032" width="9.140625" style="122"/>
    <col min="12033" max="12033" width="84.85546875" style="122" bestFit="1" customWidth="1"/>
    <col min="12034" max="12056" width="9.140625" style="122"/>
    <col min="12057" max="12057" width="11.28515625" style="122" bestFit="1" customWidth="1"/>
    <col min="12058" max="12288" width="9.140625" style="122"/>
    <col min="12289" max="12289" width="84.85546875" style="122" bestFit="1" customWidth="1"/>
    <col min="12290" max="12312" width="9.140625" style="122"/>
    <col min="12313" max="12313" width="11.28515625" style="122" bestFit="1" customWidth="1"/>
    <col min="12314" max="12544" width="9.140625" style="122"/>
    <col min="12545" max="12545" width="84.85546875" style="122" bestFit="1" customWidth="1"/>
    <col min="12546" max="12568" width="9.140625" style="122"/>
    <col min="12569" max="12569" width="11.28515625" style="122" bestFit="1" customWidth="1"/>
    <col min="12570" max="12800" width="9.140625" style="122"/>
    <col min="12801" max="12801" width="84.85546875" style="122" bestFit="1" customWidth="1"/>
    <col min="12802" max="12824" width="9.140625" style="122"/>
    <col min="12825" max="12825" width="11.28515625" style="122" bestFit="1" customWidth="1"/>
    <col min="12826" max="13056" width="9.140625" style="122"/>
    <col min="13057" max="13057" width="84.85546875" style="122" bestFit="1" customWidth="1"/>
    <col min="13058" max="13080" width="9.140625" style="122"/>
    <col min="13081" max="13081" width="11.28515625" style="122" bestFit="1" customWidth="1"/>
    <col min="13082" max="13312" width="9.140625" style="122"/>
    <col min="13313" max="13313" width="84.85546875" style="122" bestFit="1" customWidth="1"/>
    <col min="13314" max="13336" width="9.140625" style="122"/>
    <col min="13337" max="13337" width="11.28515625" style="122" bestFit="1" customWidth="1"/>
    <col min="13338" max="13568" width="9.140625" style="122"/>
    <col min="13569" max="13569" width="84.85546875" style="122" bestFit="1" customWidth="1"/>
    <col min="13570" max="13592" width="9.140625" style="122"/>
    <col min="13593" max="13593" width="11.28515625" style="122" bestFit="1" customWidth="1"/>
    <col min="13594" max="13824" width="9.140625" style="122"/>
    <col min="13825" max="13825" width="84.85546875" style="122" bestFit="1" customWidth="1"/>
    <col min="13826" max="13848" width="9.140625" style="122"/>
    <col min="13849" max="13849" width="11.28515625" style="122" bestFit="1" customWidth="1"/>
    <col min="13850" max="14080" width="9.140625" style="122"/>
    <col min="14081" max="14081" width="84.85546875" style="122" bestFit="1" customWidth="1"/>
    <col min="14082" max="14104" width="9.140625" style="122"/>
    <col min="14105" max="14105" width="11.28515625" style="122" bestFit="1" customWidth="1"/>
    <col min="14106" max="14336" width="9.140625" style="122"/>
    <col min="14337" max="14337" width="84.85546875" style="122" bestFit="1" customWidth="1"/>
    <col min="14338" max="14360" width="9.140625" style="122"/>
    <col min="14361" max="14361" width="11.28515625" style="122" bestFit="1" customWidth="1"/>
    <col min="14362" max="14592" width="9.140625" style="122"/>
    <col min="14593" max="14593" width="84.85546875" style="122" bestFit="1" customWidth="1"/>
    <col min="14594" max="14616" width="9.140625" style="122"/>
    <col min="14617" max="14617" width="11.28515625" style="122" bestFit="1" customWidth="1"/>
    <col min="14618" max="14848" width="9.140625" style="122"/>
    <col min="14849" max="14849" width="84.85546875" style="122" bestFit="1" customWidth="1"/>
    <col min="14850" max="14872" width="9.140625" style="122"/>
    <col min="14873" max="14873" width="11.28515625" style="122" bestFit="1" customWidth="1"/>
    <col min="14874" max="15104" width="9.140625" style="122"/>
    <col min="15105" max="15105" width="84.85546875" style="122" bestFit="1" customWidth="1"/>
    <col min="15106" max="15128" width="9.140625" style="122"/>
    <col min="15129" max="15129" width="11.28515625" style="122" bestFit="1" customWidth="1"/>
    <col min="15130" max="15360" width="9.140625" style="122"/>
    <col min="15361" max="15361" width="84.85546875" style="122" bestFit="1" customWidth="1"/>
    <col min="15362" max="15384" width="9.140625" style="122"/>
    <col min="15385" max="15385" width="11.28515625" style="122" bestFit="1" customWidth="1"/>
    <col min="15386" max="15616" width="9.140625" style="122"/>
    <col min="15617" max="15617" width="84.85546875" style="122" bestFit="1" customWidth="1"/>
    <col min="15618" max="15640" width="9.140625" style="122"/>
    <col min="15641" max="15641" width="11.28515625" style="122" bestFit="1" customWidth="1"/>
    <col min="15642" max="15872" width="9.140625" style="122"/>
    <col min="15873" max="15873" width="84.85546875" style="122" bestFit="1" customWidth="1"/>
    <col min="15874" max="15896" width="9.140625" style="122"/>
    <col min="15897" max="15897" width="11.28515625" style="122" bestFit="1" customWidth="1"/>
    <col min="15898" max="16128" width="9.140625" style="122"/>
    <col min="16129" max="16129" width="84.85546875" style="122" bestFit="1" customWidth="1"/>
    <col min="16130" max="16152" width="9.140625" style="122"/>
    <col min="16153" max="16153" width="11.28515625" style="122" bestFit="1" customWidth="1"/>
    <col min="16154" max="16384" width="9.140625" style="122"/>
  </cols>
  <sheetData>
    <row r="1" spans="1:25" x14ac:dyDescent="0.2">
      <c r="A1" s="122" t="s">
        <v>776</v>
      </c>
    </row>
    <row r="2" spans="1:25" x14ac:dyDescent="0.2">
      <c r="A2" s="122" t="s">
        <v>777</v>
      </c>
    </row>
    <row r="3" spans="1:25" x14ac:dyDescent="0.2">
      <c r="A3" s="122" t="s">
        <v>778</v>
      </c>
    </row>
    <row r="5" spans="1:25" x14ac:dyDescent="0.2">
      <c r="A5" s="123"/>
      <c r="B5" s="460" t="s">
        <v>779</v>
      </c>
      <c r="C5" s="460"/>
      <c r="D5" s="460"/>
      <c r="E5" s="460" t="s">
        <v>780</v>
      </c>
      <c r="F5" s="460"/>
      <c r="G5" s="460"/>
      <c r="H5" s="460" t="s">
        <v>781</v>
      </c>
      <c r="I5" s="460"/>
      <c r="J5" s="460"/>
      <c r="K5" s="460" t="s">
        <v>782</v>
      </c>
      <c r="L5" s="460"/>
      <c r="M5" s="460"/>
      <c r="N5" s="460" t="s">
        <v>783</v>
      </c>
      <c r="O5" s="460"/>
      <c r="P5" s="460"/>
      <c r="Q5" s="460" t="s">
        <v>755</v>
      </c>
      <c r="R5" s="460" t="s">
        <v>756</v>
      </c>
      <c r="S5" s="460" t="s">
        <v>784</v>
      </c>
      <c r="T5" s="460"/>
      <c r="U5" s="460"/>
      <c r="V5" s="460" t="s">
        <v>785</v>
      </c>
      <c r="W5" s="460" t="s">
        <v>786</v>
      </c>
      <c r="X5" s="460"/>
      <c r="Y5" s="460"/>
    </row>
    <row r="6" spans="1:25" ht="13.5" thickBot="1" x14ac:dyDescent="0.25">
      <c r="A6" s="123" t="s">
        <v>787</v>
      </c>
      <c r="B6" s="123" t="s">
        <v>788</v>
      </c>
      <c r="C6" s="123" t="s">
        <v>789</v>
      </c>
      <c r="D6" s="123" t="s">
        <v>790</v>
      </c>
      <c r="E6" s="123" t="s">
        <v>788</v>
      </c>
      <c r="F6" s="123" t="s">
        <v>789</v>
      </c>
      <c r="G6" s="123" t="s">
        <v>790</v>
      </c>
      <c r="H6" s="123" t="s">
        <v>788</v>
      </c>
      <c r="I6" s="123" t="s">
        <v>789</v>
      </c>
      <c r="J6" s="123" t="s">
        <v>790</v>
      </c>
      <c r="K6" s="123" t="s">
        <v>788</v>
      </c>
      <c r="L6" s="123" t="s">
        <v>789</v>
      </c>
      <c r="M6" s="123" t="s">
        <v>790</v>
      </c>
      <c r="N6" s="123" t="s">
        <v>788</v>
      </c>
      <c r="O6" s="123" t="s">
        <v>789</v>
      </c>
      <c r="P6" s="123" t="s">
        <v>790</v>
      </c>
      <c r="Q6" s="460"/>
      <c r="R6" s="460"/>
      <c r="S6" s="123" t="s">
        <v>788</v>
      </c>
      <c r="T6" s="123" t="s">
        <v>789</v>
      </c>
      <c r="U6" s="123" t="s">
        <v>790</v>
      </c>
      <c r="V6" s="460"/>
      <c r="W6" s="123" t="s">
        <v>788</v>
      </c>
      <c r="X6" s="123" t="s">
        <v>789</v>
      </c>
      <c r="Y6" s="123" t="s">
        <v>790</v>
      </c>
    </row>
    <row r="7" spans="1:25" ht="16.5" thickBot="1" x14ac:dyDescent="0.3">
      <c r="A7" s="123" t="s">
        <v>791</v>
      </c>
      <c r="B7" s="124">
        <v>3</v>
      </c>
      <c r="C7" s="124">
        <v>4</v>
      </c>
      <c r="D7" s="124">
        <v>5.5</v>
      </c>
      <c r="E7" s="125">
        <v>0.8</v>
      </c>
      <c r="F7" s="125">
        <v>0.8</v>
      </c>
      <c r="G7" s="125">
        <v>1</v>
      </c>
      <c r="H7" s="124">
        <v>0.97</v>
      </c>
      <c r="I7" s="124">
        <v>1.27</v>
      </c>
      <c r="J7" s="124">
        <v>1.27</v>
      </c>
      <c r="K7" s="125">
        <v>0.59</v>
      </c>
      <c r="L7" s="125">
        <v>1.23</v>
      </c>
      <c r="M7" s="125">
        <v>1.39</v>
      </c>
      <c r="N7" s="124">
        <v>6.16</v>
      </c>
      <c r="O7" s="124">
        <v>7.4</v>
      </c>
      <c r="P7" s="124">
        <v>8.9600000000000009</v>
      </c>
      <c r="Q7" s="126">
        <v>3</v>
      </c>
      <c r="R7" s="126">
        <v>0.65</v>
      </c>
      <c r="S7" s="125">
        <v>2</v>
      </c>
      <c r="T7" s="125">
        <f>(S7+U7)/2</f>
        <v>3.5</v>
      </c>
      <c r="U7" s="125">
        <v>5</v>
      </c>
      <c r="V7" s="123">
        <v>2</v>
      </c>
      <c r="W7" s="127">
        <v>20.34</v>
      </c>
      <c r="X7" s="127">
        <v>22.12</v>
      </c>
      <c r="Y7" s="127">
        <v>25</v>
      </c>
    </row>
    <row r="8" spans="1:25" ht="16.5" thickBot="1" x14ac:dyDescent="0.3">
      <c r="A8" s="123" t="s">
        <v>792</v>
      </c>
      <c r="B8" s="124">
        <v>3.8</v>
      </c>
      <c r="C8" s="124">
        <v>4.01</v>
      </c>
      <c r="D8" s="124">
        <v>4.67</v>
      </c>
      <c r="E8" s="125">
        <v>0.32</v>
      </c>
      <c r="F8" s="125">
        <v>0.4</v>
      </c>
      <c r="G8" s="125">
        <v>0.74</v>
      </c>
      <c r="H8" s="124">
        <v>0.5</v>
      </c>
      <c r="I8" s="124">
        <v>0.56000000000000005</v>
      </c>
      <c r="J8" s="124">
        <v>0.97</v>
      </c>
      <c r="K8" s="125">
        <v>1.02</v>
      </c>
      <c r="L8" s="125">
        <v>1.1100000000000001</v>
      </c>
      <c r="M8" s="125">
        <v>1.21</v>
      </c>
      <c r="N8" s="124">
        <v>6.64</v>
      </c>
      <c r="O8" s="124">
        <v>7.3</v>
      </c>
      <c r="P8" s="124">
        <v>8.69</v>
      </c>
      <c r="Q8" s="126">
        <v>3</v>
      </c>
      <c r="R8" s="126">
        <v>0.65</v>
      </c>
      <c r="S8" s="125">
        <v>2</v>
      </c>
      <c r="T8" s="125">
        <f t="shared" ref="T8:T14" si="0">(S8+U8)/2</f>
        <v>3.5</v>
      </c>
      <c r="U8" s="125">
        <v>5</v>
      </c>
      <c r="V8" s="123">
        <v>2</v>
      </c>
      <c r="W8" s="127">
        <v>19.600000000000001</v>
      </c>
      <c r="X8" s="127">
        <v>20.97</v>
      </c>
      <c r="Y8" s="127">
        <v>24.23</v>
      </c>
    </row>
    <row r="9" spans="1:25" ht="16.5" thickBot="1" x14ac:dyDescent="0.3">
      <c r="A9" s="123" t="s">
        <v>793</v>
      </c>
      <c r="B9" s="124">
        <v>3.8</v>
      </c>
      <c r="C9" s="124">
        <v>4.01</v>
      </c>
      <c r="D9" s="124">
        <v>4.67</v>
      </c>
      <c r="E9" s="125">
        <v>0.32</v>
      </c>
      <c r="F9" s="125">
        <v>0.4</v>
      </c>
      <c r="G9" s="125">
        <v>0.74</v>
      </c>
      <c r="H9" s="124">
        <v>0.5</v>
      </c>
      <c r="I9" s="124">
        <v>0.56000000000000005</v>
      </c>
      <c r="J9" s="124">
        <v>0.97</v>
      </c>
      <c r="K9" s="125">
        <v>1.02</v>
      </c>
      <c r="L9" s="125">
        <v>1.1100000000000001</v>
      </c>
      <c r="M9" s="125">
        <v>1.21</v>
      </c>
      <c r="N9" s="124">
        <v>6.64</v>
      </c>
      <c r="O9" s="124">
        <v>7.3</v>
      </c>
      <c r="P9" s="124">
        <v>8.69</v>
      </c>
      <c r="Q9" s="126">
        <v>3</v>
      </c>
      <c r="R9" s="126">
        <v>0.65</v>
      </c>
      <c r="S9" s="125">
        <v>2</v>
      </c>
      <c r="T9" s="125">
        <f>(S9+U9)/2</f>
        <v>3.5</v>
      </c>
      <c r="U9" s="125">
        <v>5</v>
      </c>
      <c r="V9" s="123">
        <v>2</v>
      </c>
      <c r="W9" s="127">
        <v>19.600000000000001</v>
      </c>
      <c r="X9" s="127">
        <v>20.97</v>
      </c>
      <c r="Y9" s="127">
        <v>24.23</v>
      </c>
    </row>
    <row r="10" spans="1:25" ht="16.5" thickBot="1" x14ac:dyDescent="0.3">
      <c r="A10" s="123" t="s">
        <v>794</v>
      </c>
      <c r="B10" s="124">
        <v>3.8</v>
      </c>
      <c r="C10" s="124">
        <v>4.01</v>
      </c>
      <c r="D10" s="124">
        <v>4.67</v>
      </c>
      <c r="E10" s="125">
        <v>0.32</v>
      </c>
      <c r="F10" s="125">
        <v>0.4</v>
      </c>
      <c r="G10" s="125">
        <v>0.74</v>
      </c>
      <c r="H10" s="124">
        <v>0.5</v>
      </c>
      <c r="I10" s="124">
        <v>0.56000000000000005</v>
      </c>
      <c r="J10" s="124">
        <v>0.97</v>
      </c>
      <c r="K10" s="125">
        <v>1.02</v>
      </c>
      <c r="L10" s="125">
        <v>1.1100000000000001</v>
      </c>
      <c r="M10" s="125">
        <v>1.21</v>
      </c>
      <c r="N10" s="124">
        <v>6.64</v>
      </c>
      <c r="O10" s="124">
        <v>7.3</v>
      </c>
      <c r="P10" s="124">
        <v>8.69</v>
      </c>
      <c r="Q10" s="126">
        <v>3</v>
      </c>
      <c r="R10" s="126">
        <v>0.65</v>
      </c>
      <c r="S10" s="125">
        <v>2</v>
      </c>
      <c r="T10" s="125">
        <f t="shared" si="0"/>
        <v>3.5</v>
      </c>
      <c r="U10" s="125">
        <v>5</v>
      </c>
      <c r="V10" s="123">
        <v>2</v>
      </c>
      <c r="W10" s="127">
        <v>19.600000000000001</v>
      </c>
      <c r="X10" s="127">
        <v>20.97</v>
      </c>
      <c r="Y10" s="127">
        <v>24.23</v>
      </c>
    </row>
    <row r="11" spans="1:25" ht="16.5" thickBot="1" x14ac:dyDescent="0.3">
      <c r="A11" s="123" t="s">
        <v>795</v>
      </c>
      <c r="B11" s="124">
        <v>3.43</v>
      </c>
      <c r="C11" s="124">
        <v>4.93</v>
      </c>
      <c r="D11" s="124">
        <v>6.71</v>
      </c>
      <c r="E11" s="125">
        <v>0.28000000000000003</v>
      </c>
      <c r="F11" s="125">
        <v>0.49</v>
      </c>
      <c r="G11" s="125">
        <v>0.75</v>
      </c>
      <c r="H11" s="124">
        <v>1</v>
      </c>
      <c r="I11" s="124">
        <v>1.39</v>
      </c>
      <c r="J11" s="124">
        <v>1.74</v>
      </c>
      <c r="K11" s="125">
        <v>0.94</v>
      </c>
      <c r="L11" s="125">
        <v>0.99</v>
      </c>
      <c r="M11" s="125">
        <v>1.17</v>
      </c>
      <c r="N11" s="124">
        <v>6.74</v>
      </c>
      <c r="O11" s="124">
        <v>8.0399999999999991</v>
      </c>
      <c r="P11" s="124">
        <v>9.4</v>
      </c>
      <c r="Q11" s="126">
        <v>3</v>
      </c>
      <c r="R11" s="126">
        <v>0.65</v>
      </c>
      <c r="S11" s="125">
        <v>2</v>
      </c>
      <c r="T11" s="125">
        <f t="shared" si="0"/>
        <v>3.5</v>
      </c>
      <c r="U11" s="125">
        <v>5</v>
      </c>
      <c r="V11" s="123">
        <v>2</v>
      </c>
      <c r="W11" s="127">
        <v>20.76</v>
      </c>
      <c r="X11" s="127">
        <v>24.18</v>
      </c>
      <c r="Y11" s="127">
        <v>26.44</v>
      </c>
    </row>
    <row r="12" spans="1:25" ht="16.5" thickBot="1" x14ac:dyDescent="0.3">
      <c r="A12" s="123" t="s">
        <v>796</v>
      </c>
      <c r="B12" s="124">
        <v>5.29</v>
      </c>
      <c r="C12" s="124">
        <v>5.92</v>
      </c>
      <c r="D12" s="124">
        <v>7.93</v>
      </c>
      <c r="E12" s="125">
        <v>0.25</v>
      </c>
      <c r="F12" s="125">
        <v>0.51</v>
      </c>
      <c r="G12" s="125">
        <v>0.56000000000000005</v>
      </c>
      <c r="H12" s="124">
        <v>1</v>
      </c>
      <c r="I12" s="124">
        <v>1.48</v>
      </c>
      <c r="J12" s="124">
        <v>1.97</v>
      </c>
      <c r="K12" s="125">
        <v>1.01</v>
      </c>
      <c r="L12" s="125">
        <v>1.07</v>
      </c>
      <c r="M12" s="125">
        <v>1.1100000000000001</v>
      </c>
      <c r="N12" s="124">
        <v>8</v>
      </c>
      <c r="O12" s="124">
        <v>8.31</v>
      </c>
      <c r="P12" s="124">
        <v>9.51</v>
      </c>
      <c r="Q12" s="126">
        <v>3</v>
      </c>
      <c r="R12" s="126">
        <v>0.65</v>
      </c>
      <c r="S12" s="125">
        <v>2</v>
      </c>
      <c r="T12" s="125">
        <f t="shared" si="0"/>
        <v>3.5</v>
      </c>
      <c r="U12" s="125">
        <v>5</v>
      </c>
      <c r="V12" s="123">
        <v>2</v>
      </c>
      <c r="W12" s="127">
        <v>24</v>
      </c>
      <c r="X12" s="127">
        <v>25.84</v>
      </c>
      <c r="Y12" s="127">
        <v>27.86</v>
      </c>
    </row>
    <row r="13" spans="1:25" ht="16.5" thickBot="1" x14ac:dyDescent="0.3">
      <c r="A13" s="123" t="s">
        <v>797</v>
      </c>
      <c r="B13" s="124">
        <v>4</v>
      </c>
      <c r="C13" s="124">
        <v>5.52</v>
      </c>
      <c r="D13" s="124">
        <v>7.85</v>
      </c>
      <c r="E13" s="125">
        <v>0.81</v>
      </c>
      <c r="F13" s="125">
        <v>1.22</v>
      </c>
      <c r="G13" s="125">
        <v>1.99</v>
      </c>
      <c r="H13" s="124">
        <v>1.46</v>
      </c>
      <c r="I13" s="124">
        <v>2.3199999999999998</v>
      </c>
      <c r="J13" s="124">
        <v>3.16</v>
      </c>
      <c r="K13" s="125">
        <v>0.94</v>
      </c>
      <c r="L13" s="125">
        <v>1.02</v>
      </c>
      <c r="M13" s="125">
        <v>1.33</v>
      </c>
      <c r="N13" s="124">
        <v>7.14</v>
      </c>
      <c r="O13" s="124">
        <v>8.4</v>
      </c>
      <c r="P13" s="124">
        <v>10.43</v>
      </c>
      <c r="Q13" s="126">
        <v>3</v>
      </c>
      <c r="R13" s="126">
        <v>0.65</v>
      </c>
      <c r="S13" s="125">
        <v>2</v>
      </c>
      <c r="T13" s="125">
        <f t="shared" si="0"/>
        <v>3.5</v>
      </c>
      <c r="U13" s="125">
        <v>5</v>
      </c>
      <c r="V13" s="123">
        <v>2</v>
      </c>
      <c r="W13" s="127">
        <v>22.8</v>
      </c>
      <c r="X13" s="127">
        <v>27.48</v>
      </c>
      <c r="Y13" s="127">
        <v>30.95</v>
      </c>
    </row>
    <row r="14" spans="1:25" ht="16.5" thickBot="1" x14ac:dyDescent="0.3">
      <c r="A14" s="123" t="s">
        <v>740</v>
      </c>
      <c r="B14" s="124">
        <v>1.5</v>
      </c>
      <c r="C14" s="124">
        <v>3.45</v>
      </c>
      <c r="D14" s="124">
        <v>4.49</v>
      </c>
      <c r="E14" s="125">
        <v>0.3</v>
      </c>
      <c r="F14" s="125">
        <v>0.48</v>
      </c>
      <c r="G14" s="125">
        <v>0.82</v>
      </c>
      <c r="H14" s="124">
        <v>0.56000000000000005</v>
      </c>
      <c r="I14" s="124">
        <v>0.85</v>
      </c>
      <c r="J14" s="124">
        <v>0.89</v>
      </c>
      <c r="K14" s="125">
        <v>0.85</v>
      </c>
      <c r="L14" s="125">
        <v>0.85</v>
      </c>
      <c r="M14" s="125">
        <v>1.1100000000000001</v>
      </c>
      <c r="N14" s="124">
        <v>3.5</v>
      </c>
      <c r="O14" s="124">
        <v>5.1100000000000003</v>
      </c>
      <c r="P14" s="124">
        <v>6.22</v>
      </c>
      <c r="Q14" s="126">
        <v>3</v>
      </c>
      <c r="R14" s="126">
        <v>0.65</v>
      </c>
      <c r="S14" s="125">
        <v>2</v>
      </c>
      <c r="T14" s="125">
        <f t="shared" si="0"/>
        <v>3.5</v>
      </c>
      <c r="U14" s="125">
        <v>5</v>
      </c>
      <c r="V14" s="123">
        <v>2</v>
      </c>
      <c r="W14" s="127">
        <v>11.1</v>
      </c>
      <c r="X14" s="127">
        <v>14.02</v>
      </c>
      <c r="Y14" s="127">
        <v>16.8</v>
      </c>
    </row>
    <row r="17" spans="1:12" ht="12.75" customHeight="1" x14ac:dyDescent="0.2">
      <c r="A17" s="128"/>
      <c r="B17" s="461"/>
      <c r="C17" s="461"/>
      <c r="D17" s="461"/>
      <c r="F17" s="461"/>
      <c r="G17" s="461"/>
      <c r="H17" s="461"/>
      <c r="J17" s="461"/>
      <c r="K17" s="461"/>
      <c r="L17" s="461"/>
    </row>
    <row r="18" spans="1:12" x14ac:dyDescent="0.2">
      <c r="B18" s="461"/>
      <c r="C18" s="461"/>
      <c r="D18" s="461"/>
      <c r="F18" s="461"/>
      <c r="G18" s="461"/>
      <c r="H18" s="461"/>
      <c r="J18" s="461"/>
      <c r="K18" s="461"/>
      <c r="L18" s="461"/>
    </row>
  </sheetData>
  <sheetProtection password="D921" sheet="1" formatCells="0" formatColumns="0" formatRows="0" insertColumns="0" insertRows="0" insertHyperlinks="0" deleteColumns="0" deleteRows="0" sort="0" autoFilter="0" pivotTables="0"/>
  <mergeCells count="13">
    <mergeCell ref="R5:R6"/>
    <mergeCell ref="S5:U5"/>
    <mergeCell ref="V5:V6"/>
    <mergeCell ref="W5:Y5"/>
    <mergeCell ref="B17:D18"/>
    <mergeCell ref="F17:H18"/>
    <mergeCell ref="J17:L18"/>
    <mergeCell ref="B5:D5"/>
    <mergeCell ref="E5:G5"/>
    <mergeCell ref="H5:J5"/>
    <mergeCell ref="K5:M5"/>
    <mergeCell ref="N5:P5"/>
    <mergeCell ref="Q5:Q6"/>
  </mergeCells>
  <pageMargins left="0.78740157499999996" right="0.78740157499999996" top="0.984251969" bottom="0.984251969" header="0.49212598499999999" footer="0.49212598499999999"/>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8</vt:i4>
      </vt:variant>
    </vt:vector>
  </HeadingPairs>
  <TitlesOfParts>
    <vt:vector size="13" baseType="lpstr">
      <vt:lpstr>Planilha Orçamentária</vt:lpstr>
      <vt:lpstr>Memória de Cálculo</vt:lpstr>
      <vt:lpstr>Cron </vt:lpstr>
      <vt:lpstr>BDI sem justificativa</vt:lpstr>
      <vt:lpstr>Base dados - TCU 2622_2013</vt:lpstr>
      <vt:lpstr>'BDI sem justificativa'!Area_de_impressao</vt:lpstr>
      <vt:lpstr>'Cron '!Area_de_impressao</vt:lpstr>
      <vt:lpstr>'Memória de Cálculo'!Area_de_impressao</vt:lpstr>
      <vt:lpstr>'Planilha Orçamentária'!Area_de_impressao</vt:lpstr>
      <vt:lpstr>sigla_obras</vt:lpstr>
      <vt:lpstr>sigla_sn</vt:lpstr>
      <vt:lpstr>'Memória de Cálculo'!Titulos_de_impressao</vt:lpstr>
      <vt:lpstr>'Planilha Orçamentária'!Titulos_de_impressao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Cliente</dc:creator>
  <cp:lastModifiedBy>Katia Sapedi Pereira Vidal Silva</cp:lastModifiedBy>
  <cp:lastPrinted>2020-09-22T22:59:58Z</cp:lastPrinted>
  <dcterms:created xsi:type="dcterms:W3CDTF">2018-11-28T17:12:56Z</dcterms:created>
  <dcterms:modified xsi:type="dcterms:W3CDTF">2020-10-13T18:32:09Z</dcterms:modified>
</cp:coreProperties>
</file>